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755" tabRatio="834"/>
  </bookViews>
  <sheets>
    <sheet name="Общая" sheetId="1" r:id="rId1"/>
  </sheets>
  <definedNames>
    <definedName name="№№">#REF!</definedName>
    <definedName name="_xlnm.Print_Titles" localSheetId="0">Общая!$18:$19</definedName>
    <definedName name="_xlnm.Print_Area" localSheetId="0">Общая!$A$1:$I$132</definedName>
  </definedNames>
  <calcPr calcId="114210" fullCalcOnLoad="1" refMode="R1C1"/>
</workbook>
</file>

<file path=xl/calcChain.xml><?xml version="1.0" encoding="utf-8"?>
<calcChain xmlns="http://schemas.openxmlformats.org/spreadsheetml/2006/main">
  <c r="E82" i="1"/>
  <c r="H66"/>
  <c r="I66"/>
  <c r="K117"/>
  <c r="E114"/>
  <c r="G56"/>
  <c r="G66"/>
  <c r="J115"/>
  <c r="J114"/>
  <c r="J116"/>
  <c r="J59"/>
  <c r="G74"/>
  <c r="E72"/>
  <c r="E87"/>
  <c r="J85"/>
  <c r="D85"/>
  <c r="E79"/>
  <c r="O115"/>
  <c r="O116"/>
  <c r="O114"/>
  <c r="E97"/>
  <c r="J51"/>
  <c r="J49"/>
  <c r="J57"/>
  <c r="D124"/>
  <c r="G117"/>
  <c r="J56"/>
  <c r="I115"/>
  <c r="I116"/>
  <c r="D92"/>
  <c r="E80"/>
  <c r="J81"/>
  <c r="I80"/>
  <c r="D81"/>
  <c r="D57"/>
  <c r="E27"/>
  <c r="E24"/>
  <c r="J60"/>
  <c r="I27"/>
  <c r="I28"/>
  <c r="I58"/>
  <c r="I68"/>
  <c r="J71"/>
  <c r="D79"/>
  <c r="C13"/>
  <c r="E36"/>
  <c r="J36"/>
  <c r="J72"/>
  <c r="J73"/>
  <c r="E58"/>
  <c r="D60"/>
  <c r="D59"/>
  <c r="E32"/>
  <c r="E30"/>
  <c r="D82"/>
  <c r="E75"/>
  <c r="E83"/>
  <c r="E52"/>
  <c r="D86"/>
  <c r="I113"/>
  <c r="I122"/>
  <c r="D106"/>
  <c r="E43"/>
  <c r="E41"/>
  <c r="D117"/>
  <c r="H20"/>
  <c r="D72"/>
  <c r="D99"/>
  <c r="D105"/>
  <c r="D104"/>
  <c r="D103"/>
  <c r="D102"/>
  <c r="D101"/>
  <c r="D100"/>
  <c r="D97"/>
  <c r="D98"/>
  <c r="D93"/>
  <c r="E91"/>
  <c r="D78"/>
  <c r="D77"/>
  <c r="D76"/>
  <c r="D75"/>
  <c r="D55"/>
  <c r="D54"/>
  <c r="D53"/>
  <c r="D50"/>
  <c r="D47"/>
  <c r="D46"/>
  <c r="D45"/>
  <c r="D44"/>
  <c r="D43"/>
  <c r="D41"/>
  <c r="D42"/>
  <c r="D38"/>
  <c r="D37"/>
  <c r="D34"/>
  <c r="D33"/>
  <c r="D32"/>
  <c r="D31"/>
  <c r="D28"/>
  <c r="D26"/>
  <c r="D25"/>
  <c r="I20"/>
  <c r="G20"/>
  <c r="G71"/>
  <c r="G85"/>
  <c r="G73"/>
  <c r="G59"/>
  <c r="G82"/>
  <c r="D52"/>
  <c r="H123"/>
  <c r="H131"/>
  <c r="G123"/>
  <c r="I123"/>
  <c r="I118"/>
  <c r="D40"/>
  <c r="D73"/>
  <c r="D71"/>
  <c r="D39"/>
  <c r="E48"/>
  <c r="D49"/>
  <c r="D74"/>
  <c r="D35"/>
  <c r="D30"/>
  <c r="D56"/>
  <c r="D51"/>
  <c r="D83"/>
  <c r="D48"/>
  <c r="D36"/>
  <c r="D29"/>
  <c r="G131"/>
  <c r="H86"/>
  <c r="G86"/>
  <c r="G60"/>
  <c r="G58"/>
  <c r="G68"/>
  <c r="G81"/>
  <c r="G80"/>
  <c r="D27"/>
  <c r="D24"/>
  <c r="D80"/>
  <c r="D58"/>
  <c r="I130"/>
  <c r="H87"/>
  <c r="I85"/>
  <c r="I131"/>
  <c r="H71"/>
  <c r="H85"/>
  <c r="H81"/>
  <c r="H73"/>
  <c r="H60"/>
  <c r="H59"/>
  <c r="H82"/>
  <c r="I86"/>
  <c r="D91"/>
  <c r="E88"/>
  <c r="D87"/>
  <c r="G87"/>
  <c r="I87"/>
  <c r="D88"/>
  <c r="G88"/>
  <c r="G89"/>
  <c r="I88"/>
  <c r="E89"/>
  <c r="H88"/>
  <c r="D114"/>
  <c r="H114"/>
  <c r="G114"/>
  <c r="J30"/>
  <c r="J133"/>
  <c r="E29"/>
  <c r="I89"/>
  <c r="D89"/>
  <c r="H58"/>
  <c r="H68"/>
  <c r="H89"/>
  <c r="H80"/>
  <c r="G115"/>
  <c r="H115"/>
  <c r="E115"/>
  <c r="H116"/>
  <c r="H113"/>
  <c r="G116"/>
  <c r="H118"/>
  <c r="H130"/>
  <c r="H122"/>
  <c r="D115"/>
  <c r="E116"/>
  <c r="G113"/>
  <c r="D116"/>
  <c r="D113"/>
  <c r="D118"/>
  <c r="G130"/>
  <c r="G118"/>
  <c r="G122"/>
  <c r="E122"/>
  <c r="E113"/>
  <c r="E118"/>
  <c r="D122"/>
  <c r="D125"/>
  <c r="E125"/>
  <c r="F76"/>
  <c r="E123"/>
  <c r="D123"/>
  <c r="F68"/>
  <c r="F92"/>
  <c r="E68"/>
  <c r="D68"/>
  <c r="E66"/>
  <c r="D66"/>
  <c r="E20"/>
  <c r="F75"/>
  <c r="F55"/>
  <c r="F72"/>
  <c r="F33"/>
  <c r="F124"/>
  <c r="F101"/>
  <c r="F57"/>
  <c r="F40"/>
  <c r="F56"/>
  <c r="F78"/>
  <c r="F115"/>
  <c r="F50"/>
  <c r="F45"/>
  <c r="F38"/>
  <c r="F32"/>
  <c r="F103"/>
  <c r="F88"/>
  <c r="F34"/>
  <c r="F106"/>
  <c r="F93"/>
  <c r="F91"/>
  <c r="F28"/>
  <c r="F46"/>
  <c r="F51"/>
  <c r="F49"/>
  <c r="F48"/>
  <c r="F60"/>
  <c r="F77"/>
  <c r="F54"/>
  <c r="F27"/>
  <c r="F86"/>
  <c r="F122"/>
  <c r="F105"/>
  <c r="F74"/>
  <c r="F79"/>
  <c r="F82"/>
  <c r="F100"/>
  <c r="F71"/>
  <c r="F98"/>
  <c r="F37"/>
  <c r="F81"/>
  <c r="F80"/>
  <c r="F114"/>
  <c r="F31"/>
  <c r="F25"/>
  <c r="G21"/>
  <c r="F102"/>
  <c r="F26"/>
  <c r="F47"/>
  <c r="F39"/>
  <c r="F87"/>
  <c r="F99"/>
  <c r="F104"/>
  <c r="F35"/>
  <c r="F117"/>
  <c r="F116"/>
  <c r="F73"/>
  <c r="F85"/>
  <c r="F89"/>
  <c r="F53"/>
  <c r="H21"/>
  <c r="I21"/>
  <c r="F59"/>
  <c r="F58"/>
  <c r="F44"/>
  <c r="F66"/>
  <c r="F123"/>
  <c r="F42"/>
  <c r="F125"/>
  <c r="H34"/>
  <c r="H33"/>
  <c r="H78"/>
  <c r="H99"/>
  <c r="H32"/>
  <c r="H100"/>
  <c r="H50"/>
  <c r="H77"/>
  <c r="H79"/>
  <c r="H46"/>
  <c r="H103"/>
  <c r="H26"/>
  <c r="H102"/>
  <c r="H49"/>
  <c r="H42"/>
  <c r="H51"/>
  <c r="H39"/>
  <c r="H54"/>
  <c r="H45"/>
  <c r="H55"/>
  <c r="H38"/>
  <c r="H47"/>
  <c r="H44"/>
  <c r="H31"/>
  <c r="H30"/>
  <c r="H57"/>
  <c r="H67"/>
  <c r="H25"/>
  <c r="H24"/>
  <c r="H35"/>
  <c r="H106"/>
  <c r="H105"/>
  <c r="H124"/>
  <c r="H104"/>
  <c r="H101"/>
  <c r="H40"/>
  <c r="H37"/>
  <c r="H36"/>
  <c r="H92"/>
  <c r="H53"/>
  <c r="H52"/>
  <c r="H65"/>
  <c r="H93"/>
  <c r="H96"/>
  <c r="H98"/>
  <c r="H97"/>
  <c r="H76"/>
  <c r="G55"/>
  <c r="G40"/>
  <c r="G77"/>
  <c r="G100"/>
  <c r="G99"/>
  <c r="G47"/>
  <c r="G51"/>
  <c r="G39"/>
  <c r="G105"/>
  <c r="G78"/>
  <c r="G32"/>
  <c r="G33"/>
  <c r="G54"/>
  <c r="E21"/>
  <c r="G42"/>
  <c r="G45"/>
  <c r="G102"/>
  <c r="G26"/>
  <c r="G34"/>
  <c r="G104"/>
  <c r="G106"/>
  <c r="G124"/>
  <c r="G76"/>
  <c r="G75"/>
  <c r="G83"/>
  <c r="G98"/>
  <c r="G57"/>
  <c r="G67"/>
  <c r="E67"/>
  <c r="G49"/>
  <c r="G31"/>
  <c r="G30"/>
  <c r="G35"/>
  <c r="G38"/>
  <c r="G50"/>
  <c r="G101"/>
  <c r="G79"/>
  <c r="G46"/>
  <c r="G103"/>
  <c r="G92"/>
  <c r="G44"/>
  <c r="G53"/>
  <c r="G52"/>
  <c r="G65"/>
  <c r="G37"/>
  <c r="G93"/>
  <c r="G96"/>
  <c r="G25"/>
  <c r="G24"/>
  <c r="F30"/>
  <c r="F97"/>
  <c r="F43"/>
  <c r="F41"/>
  <c r="I54"/>
  <c r="I46"/>
  <c r="I106"/>
  <c r="I39"/>
  <c r="I124"/>
  <c r="I79"/>
  <c r="I33"/>
  <c r="I40"/>
  <c r="I77"/>
  <c r="I105"/>
  <c r="I78"/>
  <c r="I47"/>
  <c r="I99"/>
  <c r="I37"/>
  <c r="I42"/>
  <c r="I93"/>
  <c r="I96"/>
  <c r="I49"/>
  <c r="I35"/>
  <c r="I32"/>
  <c r="I104"/>
  <c r="I103"/>
  <c r="I100"/>
  <c r="I34"/>
  <c r="I55"/>
  <c r="I31"/>
  <c r="I92"/>
  <c r="I44"/>
  <c r="I53"/>
  <c r="I52"/>
  <c r="I65"/>
  <c r="I25"/>
  <c r="I38"/>
  <c r="I101"/>
  <c r="I26"/>
  <c r="I50"/>
  <c r="I51"/>
  <c r="I45"/>
  <c r="I102"/>
  <c r="I76"/>
  <c r="I75"/>
  <c r="I98"/>
  <c r="I97"/>
  <c r="I57"/>
  <c r="I67"/>
  <c r="F52"/>
  <c r="F24"/>
  <c r="F113"/>
  <c r="F118"/>
  <c r="F36"/>
  <c r="F83"/>
  <c r="I91"/>
  <c r="I95"/>
  <c r="I94"/>
  <c r="I36"/>
  <c r="F29"/>
  <c r="E96"/>
  <c r="E65"/>
  <c r="G91"/>
  <c r="G95"/>
  <c r="F67"/>
  <c r="D67"/>
  <c r="H62"/>
  <c r="H63"/>
  <c r="H64"/>
  <c r="H48"/>
  <c r="I83"/>
  <c r="I24"/>
  <c r="I43"/>
  <c r="I30"/>
  <c r="I48"/>
  <c r="I64"/>
  <c r="I41"/>
  <c r="G62"/>
  <c r="G36"/>
  <c r="G43"/>
  <c r="G41"/>
  <c r="G48"/>
  <c r="G64"/>
  <c r="G97"/>
  <c r="H75"/>
  <c r="H83"/>
  <c r="H95"/>
  <c r="H94"/>
  <c r="H91"/>
  <c r="H43"/>
  <c r="H41"/>
  <c r="H29"/>
  <c r="G29"/>
  <c r="I63"/>
  <c r="I29"/>
  <c r="I69"/>
  <c r="I108"/>
  <c r="I62"/>
  <c r="I61"/>
  <c r="G63"/>
  <c r="E63"/>
  <c r="G94"/>
  <c r="G107"/>
  <c r="E95"/>
  <c r="F65"/>
  <c r="D65"/>
  <c r="H107"/>
  <c r="E64"/>
  <c r="H61"/>
  <c r="H69"/>
  <c r="H108"/>
  <c r="F96"/>
  <c r="D96"/>
  <c r="I107"/>
  <c r="H109"/>
  <c r="H110"/>
  <c r="H111"/>
  <c r="I109"/>
  <c r="I111"/>
  <c r="I110"/>
  <c r="E62"/>
  <c r="F64"/>
  <c r="D64"/>
  <c r="D95"/>
  <c r="D94"/>
  <c r="D107"/>
  <c r="F95"/>
  <c r="F94"/>
  <c r="F107"/>
  <c r="E94"/>
  <c r="E107"/>
  <c r="F63"/>
  <c r="D63"/>
  <c r="G61"/>
  <c r="G69"/>
  <c r="G108"/>
  <c r="G109"/>
  <c r="E109"/>
  <c r="I121"/>
  <c r="I126"/>
  <c r="I119"/>
  <c r="I129"/>
  <c r="I132"/>
  <c r="I134"/>
  <c r="H129"/>
  <c r="H132"/>
  <c r="H134"/>
  <c r="H119"/>
  <c r="H121"/>
  <c r="H126"/>
  <c r="E61"/>
  <c r="E69"/>
  <c r="E108"/>
  <c r="F62"/>
  <c r="F61"/>
  <c r="F69"/>
  <c r="F108"/>
  <c r="D62"/>
  <c r="D61"/>
  <c r="D69"/>
  <c r="D108"/>
  <c r="D109"/>
  <c r="F109"/>
  <c r="G110"/>
  <c r="E110"/>
  <c r="G111"/>
  <c r="G119"/>
  <c r="G129"/>
  <c r="G132"/>
  <c r="G134"/>
  <c r="G121"/>
  <c r="G126"/>
  <c r="F110"/>
  <c r="F111"/>
  <c r="F119"/>
  <c r="D110"/>
  <c r="D111"/>
  <c r="D119"/>
  <c r="E111"/>
  <c r="E119"/>
  <c r="E121"/>
  <c r="E126"/>
  <c r="D121"/>
  <c r="D126"/>
  <c r="F121"/>
  <c r="F126"/>
</calcChain>
</file>

<file path=xl/sharedStrings.xml><?xml version="1.0" encoding="utf-8"?>
<sst xmlns="http://schemas.openxmlformats.org/spreadsheetml/2006/main" count="235" uniqueCount="185">
  <si>
    <t>№ п/п</t>
  </si>
  <si>
    <t>Периодичность выполнения работ</t>
  </si>
  <si>
    <t>Расходы по видам помещений</t>
  </si>
  <si>
    <t>Общая S</t>
  </si>
  <si>
    <t>РАСХОДЫ</t>
  </si>
  <si>
    <t>Начисленная заработная плата,  в т. ч. :</t>
  </si>
  <si>
    <t>ежедневно по рабочим дням</t>
  </si>
  <si>
    <t>Страховые взносы  ( 30,2% ), в т.ч. :</t>
  </si>
  <si>
    <t>Слаботочные системы ( СКиУД )</t>
  </si>
  <si>
    <t>Инженерные системы :</t>
  </si>
  <si>
    <t>А</t>
  </si>
  <si>
    <t>Б</t>
  </si>
  <si>
    <t>по необходимости</t>
  </si>
  <si>
    <t>В</t>
  </si>
  <si>
    <t>Электросети дома и наружное освещение</t>
  </si>
  <si>
    <t>Лифты и оборудование</t>
  </si>
  <si>
    <t>Итого по разделу 1 :</t>
  </si>
  <si>
    <t>ежедневно</t>
  </si>
  <si>
    <t>Итого по разделу 2 :</t>
  </si>
  <si>
    <t>Размер платы в месяц</t>
  </si>
  <si>
    <t>Персонал дома</t>
  </si>
  <si>
    <t xml:space="preserve">АУП </t>
  </si>
  <si>
    <t>Накладные расходы:</t>
  </si>
  <si>
    <r>
      <t>Система контроля управления доступом ( СКУД )</t>
    </r>
    <r>
      <rPr>
        <b/>
        <sz val="10"/>
        <color indexed="10"/>
        <rFont val="Arial Cyr"/>
        <charset val="204"/>
      </rPr>
      <t xml:space="preserve"> </t>
    </r>
  </si>
  <si>
    <t>Система видеонаблюдения</t>
  </si>
  <si>
    <t>ХВС</t>
  </si>
  <si>
    <t>ГВС</t>
  </si>
  <si>
    <t>Станция ХВС</t>
  </si>
  <si>
    <t>Подготовка к отопительному сезону:</t>
  </si>
  <si>
    <t>Техобслуживание лифтов</t>
  </si>
  <si>
    <t>Освидетельствование лифтов</t>
  </si>
  <si>
    <t>Страхование ответственности при эксплуатации производственных объектов (лифтов)</t>
  </si>
  <si>
    <t>Дератизация, дезинсекция</t>
  </si>
  <si>
    <t>Г</t>
  </si>
  <si>
    <t>Поверка средств измерения</t>
  </si>
  <si>
    <t>Утилизация ртутьсодержащих ламп</t>
  </si>
  <si>
    <t>Водоотведение</t>
  </si>
  <si>
    <t>Канцелярские товары, оргтехника и др.</t>
  </si>
  <si>
    <t>Раздел 2.  Санитарное содержание</t>
  </si>
  <si>
    <t>ежедневно круглосуточно</t>
  </si>
  <si>
    <t>ДОХОДЫ</t>
  </si>
  <si>
    <t>ИТОГО ДОХОДЫ :</t>
  </si>
  <si>
    <t>НДС    ( 18 % )</t>
  </si>
  <si>
    <t>Замеры сопротивления изоляции</t>
  </si>
  <si>
    <t>1 раз в месяц по план-графику</t>
  </si>
  <si>
    <t>1 раз в год по план-графику</t>
  </si>
  <si>
    <t>кв.м.</t>
  </si>
  <si>
    <t>в т.ч.:  жилые помещения;</t>
  </si>
  <si>
    <t>Вывоз снега</t>
  </si>
  <si>
    <t>Расходные материалы</t>
  </si>
  <si>
    <t>Благоустройство и озеленение придомовой территории</t>
  </si>
  <si>
    <t>Санитарное содержание помещений общего пользования</t>
  </si>
  <si>
    <t>Системы ХВС, ГВС, Станция ХВС, Система водоотведения в т.ч. :</t>
  </si>
  <si>
    <t xml:space="preserve">ИТП, Система центрального отопления (ЦО), в т.ч.: </t>
  </si>
  <si>
    <t>ТО шкафов управления</t>
  </si>
  <si>
    <t>ТО запорной арматуры, насосного оборудования, автоматики, УУТЭ</t>
  </si>
  <si>
    <t>ТО водомерного узла подпитки ЦО, щиты управления ГВС</t>
  </si>
  <si>
    <t>ТО Центрального отопления (ЦО)</t>
  </si>
  <si>
    <t>* Поверка монометров</t>
  </si>
  <si>
    <t>* Поверка термометров</t>
  </si>
  <si>
    <t>* Поверка теплосчетчика</t>
  </si>
  <si>
    <t>* Поверка водомерного узла подпитки</t>
  </si>
  <si>
    <t xml:space="preserve">ежедневно </t>
  </si>
  <si>
    <t>по план-графику</t>
  </si>
  <si>
    <t>1 раз в 4 года по план-графику</t>
  </si>
  <si>
    <t>1 раз в 6 лет по план-графику</t>
  </si>
  <si>
    <t>Итого расходы в месяц, руб. без НДС               ( ПЛАН )</t>
  </si>
  <si>
    <t>Жилые</t>
  </si>
  <si>
    <t>Нежилые</t>
  </si>
  <si>
    <t>Паркинг</t>
  </si>
  <si>
    <t xml:space="preserve">Общая площадь МКД : </t>
  </si>
  <si>
    <t xml:space="preserve">           нежилые помещения;</t>
  </si>
  <si>
    <t>Охрана жилого комплекса</t>
  </si>
  <si>
    <t>Система кондиционирования</t>
  </si>
  <si>
    <t>Санитарное содержание помещений общего пользования подземной парковки</t>
  </si>
  <si>
    <t>Почтовые расходы</t>
  </si>
  <si>
    <t>Прочие расходы</t>
  </si>
  <si>
    <t>Амортизация ОС</t>
  </si>
  <si>
    <t>Вывоз ТБО, КГМ</t>
  </si>
  <si>
    <t>Услуги консьержа</t>
  </si>
  <si>
    <t>1) Оплата услуг за УТО и Тек. Ремонт по полной стоимости</t>
  </si>
  <si>
    <t>Стоимость затрат к кв.м. без НДС</t>
  </si>
  <si>
    <t>Аренда офиса</t>
  </si>
  <si>
    <t>Обучение персонала</t>
  </si>
  <si>
    <t>Круглосуточное Аварийно-Диспетчерское обслуживание инженерных систем</t>
  </si>
  <si>
    <t xml:space="preserve">Системы противопожарной безопасности  </t>
  </si>
  <si>
    <t>Себестоимость :</t>
  </si>
  <si>
    <t>2) Оплата услуг за Консьержей по полной стоимости</t>
  </si>
  <si>
    <t>Итого:</t>
  </si>
  <si>
    <t xml:space="preserve">           подземная парковка (паркинг);</t>
  </si>
  <si>
    <t>Запирающее устройство (ворота)</t>
  </si>
  <si>
    <t>Запирающее устройство (шлагбаум)</t>
  </si>
  <si>
    <t>ежедневно в весенне-летнюю эксплуатацию</t>
  </si>
  <si>
    <t>Санитарное содержание придомовой территории</t>
  </si>
  <si>
    <t>по мере необходимости в зимний период</t>
  </si>
  <si>
    <t>Раздел 1.  Техническое обслуживание инженерных систем и оборудования жилого комплекса:</t>
  </si>
  <si>
    <t>Расходные Материалы и Комплектующие Изделия для технического обслуживания инженерных систем и оборудования жилого комплекса:</t>
  </si>
  <si>
    <t>Инженерные системы (кроме электросетей)</t>
  </si>
  <si>
    <t>Системы противопожарной безопасности (покупка огнетушителей, пожар.инвентаря, материалы и др.)</t>
  </si>
  <si>
    <t>Выполнение работ по приемке готовности системы отопления к отопительному сезону (гидравлические испытание тепловых вводов, приемка оборудования ИТП, приемка оборудования к отопительному сезону)</t>
  </si>
  <si>
    <t>Наименование работ, услуг</t>
  </si>
  <si>
    <t>1.3.</t>
  </si>
  <si>
    <t>Электрощитовые, эл.оборудование общедом.эл.сетей и приборов освещения</t>
  </si>
  <si>
    <t>ИТОГО  РАСХОДЫ :</t>
  </si>
  <si>
    <t>ИТОГО ЗА СОДЕРЖАНИЕ, ТЕКУЩИЙ РЕМОНТ И УПРАВЛЕНИЕ:</t>
  </si>
  <si>
    <t>Раздел 3.  Текущий ремонт конструктивных элементов здания:</t>
  </si>
  <si>
    <t>Итого по разделу 3 :</t>
  </si>
  <si>
    <t>Расходные материалы (рассада, цветы, кустарники, удобрения, земля, травосмесь, грабли, лопата, секатор, тяпка, садовые ножницы, шланги, фитинги, распылители и др.)</t>
  </si>
  <si>
    <t>Система приточно-вытяжной вентиляции</t>
  </si>
  <si>
    <t>Система приточно-вытяжной вентиляции (покупка фильтров)</t>
  </si>
  <si>
    <t>Содержание грязезадерживающих ковров на резиновой основе</t>
  </si>
  <si>
    <t>1 раз в неделю с сентября по апрель</t>
  </si>
  <si>
    <t>3 раза в год по план-графику</t>
  </si>
  <si>
    <t>1.2.</t>
  </si>
  <si>
    <t>1.1.</t>
  </si>
  <si>
    <t>1 раз в квартал</t>
  </si>
  <si>
    <t>1 раз в месяц</t>
  </si>
  <si>
    <t>1 раз в год</t>
  </si>
  <si>
    <t>Итого расходы в год, руб.              без НДС                                       ( ПЛАН )</t>
  </si>
  <si>
    <t>Вывоз, обезвреживание и захоронение  мусора,            в т.ч. :</t>
  </si>
  <si>
    <t>по итогам осмотра включаются в план текущего ремонта</t>
  </si>
  <si>
    <t>Техобслуживание чиллеров</t>
  </si>
  <si>
    <t>Техобслуживание насосной станции холодильной машины</t>
  </si>
  <si>
    <t>Рентабельность  ( 5,0 % )</t>
  </si>
  <si>
    <t>Охрана жилого комплекса  ( в том числе НДС 18% )</t>
  </si>
  <si>
    <t>НДС  ( 18 % )</t>
  </si>
  <si>
    <t>Страховые взносы  ( 30,2 % )</t>
  </si>
  <si>
    <t>3) Оплата услуг за Охрану по полной стоимости</t>
  </si>
  <si>
    <t>Жилые, руб/1кв.м. в месяц с НДС</t>
  </si>
  <si>
    <t>Нежилые, руб/1кв.м. в месяц с НДС</t>
  </si>
  <si>
    <t>Паркинг, руб/1кв.м. в месяц с НДС</t>
  </si>
  <si>
    <t>Смета расходов и доходов</t>
  </si>
  <si>
    <t>Гидротехнические системы ( фонтан )</t>
  </si>
  <si>
    <t>1 раз в месяц весенне-летнюю эксплуатацию</t>
  </si>
  <si>
    <t>по содержанию, текущему ремонту и управлению общего имущества многоквартирного дома на 2017 год</t>
  </si>
  <si>
    <t>1.</t>
  </si>
  <si>
    <t>4.1.</t>
  </si>
  <si>
    <t>1.8.</t>
  </si>
  <si>
    <t>1.4.</t>
  </si>
  <si>
    <t>1.7.</t>
  </si>
  <si>
    <t>1.5.</t>
  </si>
  <si>
    <t>1.6.</t>
  </si>
  <si>
    <t>2.</t>
  </si>
  <si>
    <t>2.7.</t>
  </si>
  <si>
    <t xml:space="preserve">2.1. </t>
  </si>
  <si>
    <t xml:space="preserve">2.2. </t>
  </si>
  <si>
    <t xml:space="preserve">2.3. </t>
  </si>
  <si>
    <t>2.4.</t>
  </si>
  <si>
    <t>2.5.</t>
  </si>
  <si>
    <t>2.6.</t>
  </si>
  <si>
    <t>Благоустройство  и озеленение</t>
  </si>
  <si>
    <t>3.</t>
  </si>
  <si>
    <t>Страховые взносы ( 30,2 % )</t>
  </si>
  <si>
    <t>4.</t>
  </si>
  <si>
    <t>Раздел 4. Управление</t>
  </si>
  <si>
    <t>Персонал дома ( Администратор )</t>
  </si>
  <si>
    <t>Итого по разделу 4 :</t>
  </si>
  <si>
    <t>Заправка картреджей</t>
  </si>
  <si>
    <t>Услуги связи, интернет</t>
  </si>
  <si>
    <t>Информационно-консультационные расходы</t>
  </si>
  <si>
    <t>5.</t>
  </si>
  <si>
    <t>Раздел 5. Прочие услуги</t>
  </si>
  <si>
    <t>5.1.</t>
  </si>
  <si>
    <t>5.2.</t>
  </si>
  <si>
    <t xml:space="preserve">Услуги Консьержа                           </t>
  </si>
  <si>
    <t>Итого по разделу 5  :</t>
  </si>
  <si>
    <t>4) Размещение банкомата "ПЛАТ-ФОРМА"</t>
  </si>
  <si>
    <t>5) Бюджетная субсидия</t>
  </si>
  <si>
    <t>ООО "Сервис Менеджмент"</t>
  </si>
  <si>
    <t>Техническое обслуживание, содержание, текущий ремонт и управление</t>
  </si>
  <si>
    <t>4.2.</t>
  </si>
  <si>
    <t>4.3.</t>
  </si>
  <si>
    <t>4 подъезда х 4 ед.х 28 250+подмена</t>
  </si>
  <si>
    <t>4 подъезда х 1 ед.х 28 250+подмена</t>
  </si>
  <si>
    <t>Начисленная заработная плата (Мастер 1ед.х                      34 800 руб, подсобный рабочий 2 ед.х 25 000 руб =                           84 800 руб )</t>
  </si>
  <si>
    <t>1 раз в 3 года</t>
  </si>
  <si>
    <t xml:space="preserve">Лифты и оборудование </t>
  </si>
  <si>
    <t>по мере необходимости</t>
  </si>
  <si>
    <t>Электросети, наружное освещение, щитовые</t>
  </si>
  <si>
    <t>Начисленная заработная плата (32 ед.консьержа х 28 250 руб + 1ед.коньсерж старшая (на подмены)     30 000 руб = 934 000 руб в месяц)</t>
  </si>
  <si>
    <t>Адрес дома: 117246, г. Москва, ул. Херсонская, дом 43</t>
  </si>
  <si>
    <t>Текущий ремонт конструктивных элементов здания, заделка и восстановление элементов фасада</t>
  </si>
  <si>
    <t>Приложение № 5</t>
  </si>
  <si>
    <t>к Договору управления многоквартирным домом</t>
  </si>
  <si>
    <t>от 02 ноября 2017 года № 4</t>
  </si>
</sst>
</file>

<file path=xl/styles.xml><?xml version="1.0" encoding="utf-8"?>
<styleSheet xmlns="http://schemas.openxmlformats.org/spreadsheetml/2006/main">
  <numFmts count="1">
    <numFmt numFmtId="164" formatCode="#,##0.000"/>
  </numFmts>
  <fonts count="3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0"/>
      <color indexed="10"/>
      <name val="Arial Cyr"/>
      <charset val="204"/>
    </font>
    <font>
      <sz val="10"/>
      <color indexed="10"/>
      <name val="Arial Cyr"/>
      <charset val="204"/>
    </font>
    <font>
      <b/>
      <sz val="9"/>
      <name val="Arial Cyr"/>
      <charset val="204"/>
    </font>
    <font>
      <b/>
      <sz val="10"/>
      <color indexed="12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b/>
      <sz val="10"/>
      <color indexed="8"/>
      <name val="Arial Cyr"/>
      <charset val="204"/>
    </font>
    <font>
      <b/>
      <sz val="10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 Cyr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i/>
      <sz val="11"/>
      <name val="Arial Cyr"/>
      <charset val="204"/>
    </font>
    <font>
      <b/>
      <i/>
      <sz val="10"/>
      <name val="Arial"/>
      <family val="2"/>
      <charset val="204"/>
    </font>
    <font>
      <b/>
      <i/>
      <sz val="10"/>
      <color indexed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b/>
      <i/>
      <sz val="11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0" fillId="0" borderId="0"/>
    <xf numFmtId="9" fontId="1" fillId="0" borderId="0" applyFont="0" applyFill="0" applyBorder="0" applyAlignment="0" applyProtection="0"/>
  </cellStyleXfs>
  <cellXfs count="188">
    <xf numFmtId="0" fontId="0" fillId="0" borderId="0" xfId="0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0" fillId="0" borderId="0" xfId="0" applyNumberFormat="1" applyFont="1" applyAlignment="1">
      <alignment horizontal="center"/>
    </xf>
    <xf numFmtId="0" fontId="0" fillId="0" borderId="0" xfId="0" applyFill="1"/>
    <xf numFmtId="10" fontId="4" fillId="0" borderId="0" xfId="0" applyNumberFormat="1" applyFont="1" applyFill="1" applyAlignment="1">
      <alignment horizontal="center"/>
    </xf>
    <xf numFmtId="10" fontId="4" fillId="0" borderId="0" xfId="0" applyNumberFormat="1" applyFont="1" applyFill="1" applyAlignment="1">
      <alignment horizontal="right"/>
    </xf>
    <xf numFmtId="10" fontId="5" fillId="0" borderId="0" xfId="0" applyNumberFormat="1" applyFont="1" applyFill="1" applyAlignment="1">
      <alignment horizontal="center"/>
    </xf>
    <xf numFmtId="2" fontId="4" fillId="0" borderId="0" xfId="0" applyNumberFormat="1" applyFont="1"/>
    <xf numFmtId="4" fontId="4" fillId="0" borderId="0" xfId="0" applyNumberFormat="1" applyFont="1"/>
    <xf numFmtId="4" fontId="5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4" fontId="7" fillId="0" borderId="0" xfId="0" applyNumberFormat="1" applyFont="1"/>
    <xf numFmtId="0" fontId="2" fillId="2" borderId="2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9" fontId="0" fillId="0" borderId="0" xfId="0" applyNumberForma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1" fillId="0" borderId="0" xfId="0" applyFont="1"/>
    <xf numFmtId="0" fontId="10" fillId="0" borderId="0" xfId="0" applyFont="1" applyAlignment="1">
      <alignment horizontal="left"/>
    </xf>
    <xf numFmtId="0" fontId="11" fillId="0" borderId="0" xfId="0" applyNumberFormat="1" applyFont="1" applyAlignment="1">
      <alignment vertical="center" wrapText="1"/>
    </xf>
    <xf numFmtId="4" fontId="0" fillId="0" borderId="0" xfId="0" applyNumberFormat="1" applyFill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0" fillId="0" borderId="1" xfId="0" applyNumberFormat="1" applyFill="1" applyBorder="1" applyAlignment="1">
      <alignment horizontal="right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vertical="center" wrapText="1"/>
    </xf>
    <xf numFmtId="4" fontId="0" fillId="0" borderId="0" xfId="0" applyNumberFormat="1" applyFill="1" applyBorder="1"/>
    <xf numFmtId="4" fontId="2" fillId="0" borderId="0" xfId="0" applyNumberFormat="1" applyFont="1" applyFill="1" applyBorder="1"/>
    <xf numFmtId="4" fontId="1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 indent="1"/>
    </xf>
    <xf numFmtId="4" fontId="0" fillId="0" borderId="1" xfId="0" applyNumberForma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 indent="1"/>
    </xf>
    <xf numFmtId="0" fontId="0" fillId="0" borderId="0" xfId="0" applyFill="1" applyBorder="1" applyAlignment="1"/>
    <xf numFmtId="0" fontId="0" fillId="0" borderId="1" xfId="0" applyFill="1" applyBorder="1"/>
    <xf numFmtId="0" fontId="8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/>
    <xf numFmtId="4" fontId="0" fillId="0" borderId="3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right" wrapText="1"/>
    </xf>
    <xf numFmtId="0" fontId="9" fillId="0" borderId="0" xfId="0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" fontId="0" fillId="0" borderId="1" xfId="0" applyNumberFormat="1" applyFont="1" applyFill="1" applyBorder="1" applyAlignment="1">
      <alignment horizontal="center" wrapText="1"/>
    </xf>
    <xf numFmtId="4" fontId="0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" fontId="14" fillId="0" borderId="1" xfId="0" applyNumberFormat="1" applyFont="1" applyFill="1" applyBorder="1" applyAlignment="1">
      <alignment horizontal="right" wrapText="1"/>
    </xf>
    <xf numFmtId="4" fontId="0" fillId="0" borderId="3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center" wrapText="1"/>
    </xf>
    <xf numFmtId="0" fontId="0" fillId="0" borderId="0" xfId="0" applyBorder="1"/>
    <xf numFmtId="4" fontId="1" fillId="0" borderId="0" xfId="0" applyNumberFormat="1" applyFont="1" applyFill="1" applyBorder="1"/>
    <xf numFmtId="0" fontId="2" fillId="0" borderId="0" xfId="0" applyFont="1" applyFill="1" applyBorder="1"/>
    <xf numFmtId="0" fontId="16" fillId="0" borderId="0" xfId="0" applyFont="1" applyAlignment="1">
      <alignment horizontal="left" vertical="center"/>
    </xf>
    <xf numFmtId="0" fontId="17" fillId="0" borderId="0" xfId="0" applyFont="1"/>
    <xf numFmtId="0" fontId="16" fillId="0" borderId="0" xfId="0" applyFont="1" applyAlignment="1">
      <alignment horizontal="left"/>
    </xf>
    <xf numFmtId="0" fontId="17" fillId="0" borderId="4" xfId="0" applyFont="1" applyBorder="1"/>
    <xf numFmtId="0" fontId="16" fillId="0" borderId="0" xfId="0" applyFont="1" applyFill="1" applyAlignment="1">
      <alignment horizontal="left"/>
    </xf>
    <xf numFmtId="0" fontId="13" fillId="0" borderId="0" xfId="0" applyFont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right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18" fillId="0" borderId="0" xfId="0" applyFont="1"/>
    <xf numFmtId="4" fontId="18" fillId="0" borderId="0" xfId="0" applyNumberFormat="1" applyFont="1"/>
    <xf numFmtId="4" fontId="19" fillId="0" borderId="0" xfId="0" applyNumberFormat="1" applyFont="1"/>
    <xf numFmtId="0" fontId="19" fillId="0" borderId="0" xfId="0" applyFont="1"/>
    <xf numFmtId="0" fontId="20" fillId="0" borderId="0" xfId="0" applyFont="1" applyFill="1" applyBorder="1"/>
    <xf numFmtId="49" fontId="21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right" wrapText="1"/>
    </xf>
    <xf numFmtId="4" fontId="21" fillId="0" borderId="1" xfId="0" applyNumberFormat="1" applyFont="1" applyFill="1" applyBorder="1" applyAlignment="1">
      <alignment horizontal="center" wrapText="1"/>
    </xf>
    <xf numFmtId="0" fontId="22" fillId="0" borderId="0" xfId="0" applyFont="1" applyFill="1" applyBorder="1"/>
    <xf numFmtId="0" fontId="22" fillId="0" borderId="0" xfId="0" applyFont="1" applyFill="1"/>
    <xf numFmtId="4" fontId="21" fillId="0" borderId="0" xfId="0" applyNumberFormat="1" applyFont="1" applyFill="1" applyBorder="1" applyAlignment="1">
      <alignment horizontal="right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/>
    <xf numFmtId="0" fontId="23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vertical="center" wrapText="1"/>
    </xf>
    <xf numFmtId="4" fontId="22" fillId="0" borderId="5" xfId="0" applyNumberFormat="1" applyFont="1" applyFill="1" applyBorder="1" applyAlignment="1">
      <alignment horizontal="right" wrapText="1"/>
    </xf>
    <xf numFmtId="0" fontId="24" fillId="0" borderId="1" xfId="1" applyFont="1" applyFill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2" fillId="0" borderId="0" xfId="0" applyFont="1"/>
    <xf numFmtId="4" fontId="0" fillId="0" borderId="0" xfId="0" applyNumberFormat="1"/>
    <xf numFmtId="4" fontId="0" fillId="0" borderId="0" xfId="0" applyNumberFormat="1" applyFont="1" applyFill="1" applyBorder="1"/>
    <xf numFmtId="0" fontId="0" fillId="0" borderId="0" xfId="0" applyFont="1" applyFill="1" applyBorder="1"/>
    <xf numFmtId="0" fontId="26" fillId="0" borderId="1" xfId="0" applyFont="1" applyFill="1" applyBorder="1" applyAlignment="1">
      <alignment horizontal="left" vertical="center" wrapText="1" indent="1"/>
    </xf>
    <xf numFmtId="4" fontId="23" fillId="0" borderId="1" xfId="0" applyNumberFormat="1" applyFont="1" applyFill="1" applyBorder="1" applyAlignment="1">
      <alignment horizontal="right" wrapText="1"/>
    </xf>
    <xf numFmtId="4" fontId="23" fillId="0" borderId="1" xfId="0" applyNumberFormat="1" applyFont="1" applyFill="1" applyBorder="1" applyAlignment="1">
      <alignment horizontal="center" wrapText="1"/>
    </xf>
    <xf numFmtId="4" fontId="2" fillId="0" borderId="3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Border="1"/>
    <xf numFmtId="49" fontId="23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23" fillId="0" borderId="2" xfId="0" applyFont="1" applyFill="1" applyBorder="1" applyAlignment="1">
      <alignment vertical="center" wrapText="1"/>
    </xf>
    <xf numFmtId="4" fontId="22" fillId="0" borderId="0" xfId="0" applyNumberFormat="1" applyFont="1" applyFill="1"/>
    <xf numFmtId="4" fontId="14" fillId="0" borderId="1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right" wrapText="1"/>
    </xf>
    <xf numFmtId="4" fontId="2" fillId="3" borderId="6" xfId="0" applyNumberFormat="1" applyFont="1" applyFill="1" applyBorder="1" applyAlignment="1">
      <alignment horizontal="right" wrapText="1"/>
    </xf>
    <xf numFmtId="4" fontId="14" fillId="3" borderId="5" xfId="0" applyNumberFormat="1" applyFont="1" applyFill="1" applyBorder="1" applyAlignment="1">
      <alignment horizontal="right" wrapText="1"/>
    </xf>
    <xf numFmtId="4" fontId="2" fillId="3" borderId="0" xfId="0" applyNumberFormat="1" applyFont="1" applyFill="1" applyBorder="1"/>
    <xf numFmtId="4" fontId="2" fillId="3" borderId="5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4" fontId="2" fillId="4" borderId="5" xfId="0" applyNumberFormat="1" applyFont="1" applyFill="1" applyBorder="1" applyAlignment="1">
      <alignment horizontal="right" wrapText="1"/>
    </xf>
    <xf numFmtId="4" fontId="2" fillId="4" borderId="0" xfId="0" applyNumberFormat="1" applyFont="1" applyFill="1"/>
    <xf numFmtId="4" fontId="0" fillId="0" borderId="3" xfId="0" applyNumberFormat="1" applyFont="1" applyFill="1" applyBorder="1" applyAlignment="1">
      <alignment wrapText="1"/>
    </xf>
    <xf numFmtId="0" fontId="23" fillId="0" borderId="1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left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3" fillId="0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164" fontId="0" fillId="3" borderId="0" xfId="0" applyNumberFormat="1" applyFill="1"/>
    <xf numFmtId="4" fontId="2" fillId="5" borderId="0" xfId="0" applyNumberFormat="1" applyFont="1" applyFill="1" applyBorder="1" applyAlignment="1">
      <alignment horizontal="right" wrapText="1"/>
    </xf>
    <xf numFmtId="2" fontId="2" fillId="3" borderId="0" xfId="0" applyNumberFormat="1" applyFont="1" applyFill="1"/>
    <xf numFmtId="2" fontId="0" fillId="0" borderId="0" xfId="3" applyNumberFormat="1" applyFont="1" applyFill="1" applyBorder="1"/>
    <xf numFmtId="4" fontId="0" fillId="0" borderId="15" xfId="0" applyNumberForma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left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" fontId="27" fillId="0" borderId="17" xfId="0" applyNumberFormat="1" applyFont="1" applyFill="1" applyBorder="1" applyAlignment="1">
      <alignment horizontal="left" vertical="center" wrapText="1"/>
    </xf>
    <xf numFmtId="4" fontId="27" fillId="0" borderId="18" xfId="0" applyNumberFormat="1" applyFont="1" applyFill="1" applyBorder="1" applyAlignment="1">
      <alignment horizontal="left" vertical="center" wrapText="1"/>
    </xf>
    <xf numFmtId="4" fontId="27" fillId="0" borderId="19" xfId="0" applyNumberFormat="1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left" vertical="center" wrapText="1"/>
    </xf>
    <xf numFmtId="4" fontId="3" fillId="0" borderId="22" xfId="0" applyNumberFormat="1" applyFont="1" applyFill="1" applyBorder="1" applyAlignment="1">
      <alignment horizontal="left" vertical="center" wrapText="1"/>
    </xf>
    <xf numFmtId="4" fontId="3" fillId="0" borderId="23" xfId="0" applyNumberFormat="1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left" vertical="center" wrapText="1"/>
    </xf>
    <xf numFmtId="4" fontId="3" fillId="0" borderId="24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tabSelected="1" zoomScale="90" zoomScaleNormal="90" workbookViewId="0">
      <selection activeCell="M17" sqref="M17"/>
    </sheetView>
  </sheetViews>
  <sheetFormatPr defaultRowHeight="12.75"/>
  <cols>
    <col min="1" max="1" width="6.42578125" customWidth="1"/>
    <col min="2" max="2" width="50.140625" customWidth="1"/>
    <col min="3" max="3" width="30" style="1" customWidth="1"/>
    <col min="4" max="4" width="16" style="2" customWidth="1"/>
    <col min="5" max="5" width="15" customWidth="1"/>
    <col min="6" max="6" width="11.42578125" style="3" hidden="1" customWidth="1"/>
    <col min="7" max="9" width="14.7109375" customWidth="1"/>
    <col min="10" max="10" width="14.5703125" bestFit="1" customWidth="1"/>
    <col min="11" max="11" width="14.85546875" bestFit="1" customWidth="1"/>
  </cols>
  <sheetData>
    <row r="1" spans="1:13" ht="17.100000000000001" customHeight="1">
      <c r="A1" s="31"/>
      <c r="B1" s="25"/>
      <c r="C1" s="25"/>
      <c r="D1" s="25"/>
      <c r="G1" s="82"/>
      <c r="H1" s="124"/>
      <c r="I1" s="124"/>
      <c r="J1" s="25"/>
      <c r="K1" s="25"/>
      <c r="L1" s="83"/>
      <c r="M1" s="4"/>
    </row>
    <row r="2" spans="1:13" ht="17.100000000000001" customHeight="1">
      <c r="A2" s="24"/>
      <c r="B2" s="25"/>
      <c r="C2" s="25"/>
      <c r="D2" s="25"/>
      <c r="G2" s="84"/>
      <c r="H2" s="124"/>
      <c r="I2" s="124"/>
      <c r="J2" s="25"/>
      <c r="K2" s="25"/>
      <c r="L2" s="83"/>
      <c r="M2" s="4"/>
    </row>
    <row r="3" spans="1:13" ht="17.100000000000001" customHeight="1">
      <c r="A3" s="24"/>
      <c r="B3" s="25"/>
      <c r="C3" s="25"/>
      <c r="D3" s="25"/>
      <c r="G3" s="157"/>
      <c r="H3" s="124" t="s">
        <v>182</v>
      </c>
      <c r="I3" s="124"/>
      <c r="J3" s="25"/>
      <c r="K3" s="25"/>
      <c r="L3" s="83"/>
      <c r="M3" s="4"/>
    </row>
    <row r="4" spans="1:13" ht="17.100000000000001" customHeight="1">
      <c r="A4" s="24"/>
      <c r="B4" s="25"/>
      <c r="C4" s="25"/>
      <c r="D4" s="25"/>
      <c r="G4" s="84" t="s">
        <v>183</v>
      </c>
      <c r="H4" s="124"/>
      <c r="I4" s="124"/>
      <c r="J4" s="25"/>
      <c r="K4" s="25"/>
      <c r="L4" s="83"/>
      <c r="M4" s="4"/>
    </row>
    <row r="5" spans="1:13" ht="17.100000000000001" customHeight="1">
      <c r="A5" s="24"/>
      <c r="B5" s="25"/>
      <c r="C5" s="25"/>
      <c r="D5" s="25"/>
      <c r="G5" s="85" t="s">
        <v>184</v>
      </c>
      <c r="H5" s="86"/>
      <c r="I5" s="86"/>
      <c r="J5" s="86"/>
      <c r="K5" s="86"/>
      <c r="M5" s="4"/>
    </row>
    <row r="6" spans="1:13" ht="17.100000000000001" customHeight="1">
      <c r="A6" s="24"/>
      <c r="B6" s="25"/>
      <c r="C6" s="25"/>
      <c r="D6" s="25"/>
      <c r="E6" s="26"/>
      <c r="F6" s="25"/>
      <c r="G6" s="4"/>
      <c r="H6" s="4"/>
      <c r="I6" s="4"/>
      <c r="J6" s="4"/>
      <c r="K6" s="4"/>
      <c r="L6" s="4"/>
      <c r="M6" s="4"/>
    </row>
    <row r="7" spans="1:13" ht="17.100000000000001" customHeight="1">
      <c r="A7" s="24"/>
      <c r="B7" s="25"/>
      <c r="C7" s="25"/>
      <c r="D7" s="25"/>
      <c r="E7" s="26"/>
      <c r="F7" s="25"/>
      <c r="G7" s="4"/>
      <c r="H7" s="4"/>
      <c r="I7" s="4"/>
      <c r="J7" s="4"/>
      <c r="K7" s="4"/>
      <c r="L7" s="4"/>
      <c r="M7" s="4"/>
    </row>
    <row r="8" spans="1:13" ht="15.75">
      <c r="A8" s="24"/>
      <c r="B8" s="163" t="s">
        <v>131</v>
      </c>
      <c r="C8" s="163"/>
      <c r="D8" s="163"/>
      <c r="E8" s="163"/>
      <c r="F8" s="163"/>
      <c r="G8" s="163"/>
      <c r="H8" s="163"/>
      <c r="I8" s="163"/>
      <c r="J8" s="30"/>
      <c r="K8" s="4"/>
      <c r="L8" s="4"/>
      <c r="M8" s="4"/>
    </row>
    <row r="9" spans="1:13" ht="15.75" customHeight="1">
      <c r="A9" s="24"/>
      <c r="B9" s="164" t="s">
        <v>134</v>
      </c>
      <c r="C9" s="164"/>
      <c r="D9" s="164"/>
      <c r="E9" s="164"/>
      <c r="F9" s="164"/>
      <c r="G9" s="164"/>
      <c r="H9" s="164"/>
      <c r="I9" s="164"/>
      <c r="J9" s="29"/>
      <c r="K9" s="4"/>
      <c r="L9" s="4"/>
      <c r="M9" s="4"/>
    </row>
    <row r="10" spans="1:13" ht="12.75" customHeight="1">
      <c r="A10" s="24"/>
      <c r="B10" s="163"/>
      <c r="C10" s="163"/>
      <c r="D10" s="163"/>
      <c r="E10" s="27"/>
      <c r="F10" s="27"/>
      <c r="G10" s="4"/>
      <c r="H10" s="4"/>
      <c r="I10" s="4"/>
      <c r="J10" s="4"/>
      <c r="K10" s="4"/>
      <c r="L10" s="4"/>
      <c r="M10" s="4"/>
    </row>
    <row r="11" spans="1:13" ht="15.75">
      <c r="A11" s="4"/>
      <c r="B11" s="165" t="s">
        <v>180</v>
      </c>
      <c r="C11" s="165"/>
      <c r="D11" s="165"/>
      <c r="E11" s="165"/>
      <c r="F11" s="165"/>
      <c r="G11" s="165"/>
      <c r="H11" s="165"/>
      <c r="I11" s="165"/>
      <c r="J11" s="30"/>
      <c r="K11" s="28"/>
      <c r="L11" s="4"/>
      <c r="M11" s="4"/>
    </row>
    <row r="12" spans="1:13" ht="15.75">
      <c r="A12" s="4"/>
      <c r="B12" s="87"/>
      <c r="C12" s="87"/>
      <c r="D12" s="87"/>
      <c r="E12" s="87"/>
      <c r="F12" s="87"/>
      <c r="G12" s="87"/>
      <c r="H12" s="87"/>
      <c r="I12" s="87"/>
      <c r="J12" s="30"/>
      <c r="K12" s="28"/>
      <c r="L12" s="4"/>
      <c r="M12" s="4"/>
    </row>
    <row r="13" spans="1:13">
      <c r="B13" s="94" t="s">
        <v>70</v>
      </c>
      <c r="C13" s="93">
        <f>SUM(C14:C16)</f>
        <v>83084</v>
      </c>
      <c r="D13" s="94" t="s">
        <v>46</v>
      </c>
      <c r="F13"/>
    </row>
    <row r="14" spans="1:13">
      <c r="B14" s="91" t="s">
        <v>47</v>
      </c>
      <c r="C14" s="92">
        <v>67015.199999999997</v>
      </c>
      <c r="D14" s="91" t="s">
        <v>46</v>
      </c>
      <c r="F14"/>
    </row>
    <row r="15" spans="1:13">
      <c r="B15" s="91" t="s">
        <v>71</v>
      </c>
      <c r="C15" s="92">
        <v>4056.2</v>
      </c>
      <c r="D15" s="91" t="s">
        <v>46</v>
      </c>
      <c r="F15"/>
    </row>
    <row r="16" spans="1:13">
      <c r="B16" s="91" t="s">
        <v>89</v>
      </c>
      <c r="C16" s="92">
        <v>12012.6</v>
      </c>
      <c r="D16" s="91" t="s">
        <v>46</v>
      </c>
      <c r="F16"/>
    </row>
    <row r="17" spans="1:12">
      <c r="A17" s="4"/>
      <c r="B17" s="31"/>
      <c r="C17" s="5"/>
      <c r="D17" s="6"/>
      <c r="E17" s="8"/>
      <c r="F17" s="7"/>
      <c r="G17" s="9"/>
      <c r="H17" s="8"/>
      <c r="I17" s="8"/>
    </row>
    <row r="18" spans="1:12" ht="24.75" customHeight="1">
      <c r="A18" s="158" t="s">
        <v>0</v>
      </c>
      <c r="B18" s="187" t="s">
        <v>100</v>
      </c>
      <c r="C18" s="158" t="s">
        <v>1</v>
      </c>
      <c r="D18" s="158" t="s">
        <v>118</v>
      </c>
      <c r="E18" s="158" t="s">
        <v>66</v>
      </c>
      <c r="F18" s="158" t="s">
        <v>81</v>
      </c>
      <c r="G18" s="160" t="s">
        <v>2</v>
      </c>
      <c r="H18" s="161"/>
      <c r="I18" s="162"/>
      <c r="J18" s="10"/>
    </row>
    <row r="19" spans="1:12" ht="30.75" customHeight="1">
      <c r="A19" s="159"/>
      <c r="B19" s="187"/>
      <c r="C19" s="159"/>
      <c r="D19" s="159"/>
      <c r="E19" s="159"/>
      <c r="F19" s="159"/>
      <c r="G19" s="11" t="s">
        <v>67</v>
      </c>
      <c r="H19" s="11" t="s">
        <v>68</v>
      </c>
      <c r="I19" s="11" t="s">
        <v>69</v>
      </c>
      <c r="J19" s="12"/>
    </row>
    <row r="20" spans="1:12" ht="15" hidden="1" customHeight="1">
      <c r="A20" s="11"/>
      <c r="B20" s="13"/>
      <c r="C20" s="13"/>
      <c r="D20" s="11">
        <v>12</v>
      </c>
      <c r="E20" s="14">
        <f>SUM(G20:I20)</f>
        <v>83084</v>
      </c>
      <c r="F20" s="32" t="s">
        <v>3</v>
      </c>
      <c r="G20" s="14">
        <f>C14</f>
        <v>67015.199999999997</v>
      </c>
      <c r="H20" s="14">
        <f>C15</f>
        <v>4056.2</v>
      </c>
      <c r="I20" s="14">
        <f>C16</f>
        <v>12012.6</v>
      </c>
      <c r="K20" s="79"/>
    </row>
    <row r="21" spans="1:12" ht="15" hidden="1" customHeight="1">
      <c r="A21" s="11"/>
      <c r="B21" s="13"/>
      <c r="C21" s="15"/>
      <c r="D21" s="15"/>
      <c r="E21" s="17">
        <f>SUM(G21:I21)</f>
        <v>1</v>
      </c>
      <c r="F21" s="16"/>
      <c r="G21" s="17">
        <f>G20/$E$20</f>
        <v>0.80659573443743682</v>
      </c>
      <c r="H21" s="17">
        <f>H20/$E$20</f>
        <v>4.8820470848779544E-2</v>
      </c>
      <c r="I21" s="17">
        <f>I20/$E$20</f>
        <v>0.14458379471378366</v>
      </c>
      <c r="K21" s="79"/>
    </row>
    <row r="22" spans="1:12" s="4" customFormat="1" ht="22.5" customHeight="1">
      <c r="A22" s="33"/>
      <c r="B22" s="106" t="s">
        <v>4</v>
      </c>
      <c r="C22" s="35"/>
      <c r="D22" s="36"/>
      <c r="E22" s="38"/>
      <c r="F22" s="37"/>
      <c r="G22" s="38"/>
      <c r="H22" s="38"/>
      <c r="I22" s="38"/>
      <c r="J22" s="18"/>
      <c r="K22" s="18"/>
      <c r="L22" s="18"/>
    </row>
    <row r="23" spans="1:12" s="4" customFormat="1" ht="42.75">
      <c r="A23" s="123" t="s">
        <v>135</v>
      </c>
      <c r="B23" s="125" t="s">
        <v>95</v>
      </c>
      <c r="C23" s="41"/>
      <c r="D23" s="72"/>
      <c r="E23" s="73"/>
      <c r="F23" s="70"/>
      <c r="G23" s="73"/>
      <c r="H23" s="73"/>
      <c r="I23" s="73"/>
      <c r="J23" s="18"/>
      <c r="K23" s="18"/>
      <c r="L23" s="28"/>
    </row>
    <row r="24" spans="1:12" s="4" customFormat="1" ht="21" customHeight="1">
      <c r="A24" s="48" t="s">
        <v>114</v>
      </c>
      <c r="B24" s="49" t="s">
        <v>8</v>
      </c>
      <c r="C24" s="51"/>
      <c r="D24" s="69">
        <f t="shared" ref="D24:I24" si="0">SUM(D25:D28)</f>
        <v>580701.36</v>
      </c>
      <c r="E24" s="69">
        <f t="shared" si="0"/>
        <v>48391.78</v>
      </c>
      <c r="F24" s="68">
        <f t="shared" si="0"/>
        <v>0.5824440325453758</v>
      </c>
      <c r="G24" s="69">
        <f>SUM(G25:G28)</f>
        <v>32176.539587116655</v>
      </c>
      <c r="H24" s="69">
        <f t="shared" si="0"/>
        <v>1947.5354825959271</v>
      </c>
      <c r="I24" s="69">
        <f t="shared" si="0"/>
        <v>14267.70493028742</v>
      </c>
      <c r="J24" s="18"/>
      <c r="K24" s="18"/>
      <c r="L24" s="28"/>
    </row>
    <row r="25" spans="1:12" s="4" customFormat="1">
      <c r="A25" s="40"/>
      <c r="B25" s="50" t="s">
        <v>23</v>
      </c>
      <c r="C25" s="51" t="s">
        <v>44</v>
      </c>
      <c r="D25" s="64">
        <f>E25*$D$20</f>
        <v>348003</v>
      </c>
      <c r="E25" s="64">
        <v>29000.25</v>
      </c>
      <c r="F25" s="70">
        <f>E25/$E$20</f>
        <v>0.34904734967021328</v>
      </c>
      <c r="G25" s="64">
        <f>E25*$G$21</f>
        <v>23391.477947619278</v>
      </c>
      <c r="H25" s="64">
        <f>E25*$H$21</f>
        <v>1415.805859732319</v>
      </c>
      <c r="I25" s="64">
        <f>E25*$I$21</f>
        <v>4192.9661926484041</v>
      </c>
      <c r="J25" s="18"/>
      <c r="K25" s="18"/>
      <c r="L25" s="28"/>
    </row>
    <row r="26" spans="1:12" s="4" customFormat="1">
      <c r="A26" s="40"/>
      <c r="B26" s="50" t="s">
        <v>24</v>
      </c>
      <c r="C26" s="155" t="s">
        <v>44</v>
      </c>
      <c r="D26" s="156">
        <f>E26*D20</f>
        <v>130698.36000000002</v>
      </c>
      <c r="E26" s="156">
        <v>10891.53</v>
      </c>
      <c r="F26" s="70">
        <f>E26/$E$20</f>
        <v>0.13109058302440904</v>
      </c>
      <c r="G26" s="64">
        <f>E26*$G$21</f>
        <v>8785.0616394973767</v>
      </c>
      <c r="H26" s="64">
        <f t="shared" ref="H26:H55" si="1">E26*$H$21</f>
        <v>531.72962286360791</v>
      </c>
      <c r="I26" s="64">
        <f t="shared" ref="I26:I55" si="2">E26*$I$21</f>
        <v>1574.7387376390163</v>
      </c>
      <c r="J26" s="18"/>
      <c r="K26" s="18"/>
      <c r="L26" s="28"/>
    </row>
    <row r="27" spans="1:12" s="4" customFormat="1">
      <c r="A27" s="40"/>
      <c r="B27" s="50" t="s">
        <v>90</v>
      </c>
      <c r="C27" s="51" t="s">
        <v>44</v>
      </c>
      <c r="D27" s="64">
        <f>E27*12</f>
        <v>84000</v>
      </c>
      <c r="E27" s="64">
        <f>5600+1400</f>
        <v>7000</v>
      </c>
      <c r="F27" s="70">
        <f>E27/$E$20</f>
        <v>8.4252082230032263E-2</v>
      </c>
      <c r="G27" s="64">
        <v>0</v>
      </c>
      <c r="H27" s="64">
        <v>0</v>
      </c>
      <c r="I27" s="64">
        <f>E27</f>
        <v>7000</v>
      </c>
      <c r="J27" s="18"/>
      <c r="K27" s="18"/>
      <c r="L27" s="28"/>
    </row>
    <row r="28" spans="1:12" s="4" customFormat="1">
      <c r="A28" s="40"/>
      <c r="B28" s="50" t="s">
        <v>91</v>
      </c>
      <c r="C28" s="51" t="s">
        <v>44</v>
      </c>
      <c r="D28" s="64">
        <f>E28*12</f>
        <v>18000</v>
      </c>
      <c r="E28" s="64">
        <v>1500</v>
      </c>
      <c r="F28" s="70">
        <f>E28/$E$20</f>
        <v>1.8054017620721199E-2</v>
      </c>
      <c r="G28" s="64">
        <v>0</v>
      </c>
      <c r="H28" s="64">
        <v>0</v>
      </c>
      <c r="I28" s="64">
        <f>E28</f>
        <v>1500</v>
      </c>
      <c r="J28" s="18"/>
      <c r="K28" s="18"/>
      <c r="L28" s="28"/>
    </row>
    <row r="29" spans="1:12" s="4" customFormat="1" ht="21.75" customHeight="1">
      <c r="A29" s="48" t="s">
        <v>113</v>
      </c>
      <c r="B29" s="49" t="s">
        <v>9</v>
      </c>
      <c r="C29" s="41"/>
      <c r="D29" s="69">
        <f t="shared" ref="D29:I29" si="3">D30+D36+D41+D48</f>
        <v>5726668.6800000006</v>
      </c>
      <c r="E29" s="69">
        <f t="shared" si="3"/>
        <v>477222.39</v>
      </c>
      <c r="F29" s="68">
        <f t="shared" si="3"/>
        <v>5.7438542920417888</v>
      </c>
      <c r="G29" s="69">
        <f t="shared" si="3"/>
        <v>384925.54415203887</v>
      </c>
      <c r="H29" s="69">
        <f t="shared" si="3"/>
        <v>23298.221779379903</v>
      </c>
      <c r="I29" s="69">
        <f t="shared" si="3"/>
        <v>68998.624068581208</v>
      </c>
      <c r="J29" s="18"/>
      <c r="K29" s="18"/>
      <c r="L29" s="28"/>
    </row>
    <row r="30" spans="1:12" s="4" customFormat="1" ht="25.5">
      <c r="A30" s="48" t="s">
        <v>10</v>
      </c>
      <c r="B30" s="34" t="s">
        <v>52</v>
      </c>
      <c r="C30" s="51"/>
      <c r="D30" s="74">
        <f t="shared" ref="D30:I30" si="4">SUM(D31:D35)</f>
        <v>2928813.6</v>
      </c>
      <c r="E30" s="74">
        <f t="shared" si="4"/>
        <v>244067.8</v>
      </c>
      <c r="F30" s="127">
        <f t="shared" si="4"/>
        <v>2.937602907900438</v>
      </c>
      <c r="G30" s="74">
        <f t="shared" si="4"/>
        <v>196864.04639352945</v>
      </c>
      <c r="H30" s="74">
        <f t="shared" si="4"/>
        <v>11915.504915025755</v>
      </c>
      <c r="I30" s="74">
        <f t="shared" si="4"/>
        <v>35288.248691444809</v>
      </c>
      <c r="J30" s="130">
        <f>E30*1.18</f>
        <v>288000.00399999996</v>
      </c>
      <c r="K30" s="95"/>
      <c r="L30" s="28"/>
    </row>
    <row r="31" spans="1:12" s="4" customFormat="1" ht="12.75" customHeight="1">
      <c r="A31" s="52"/>
      <c r="B31" s="43" t="s">
        <v>25</v>
      </c>
      <c r="C31" s="51" t="s">
        <v>62</v>
      </c>
      <c r="D31" s="64">
        <f>E31*12</f>
        <v>246559.44</v>
      </c>
      <c r="E31" s="64">
        <v>20546.62</v>
      </c>
      <c r="F31" s="70">
        <f>E31/$E$20</f>
        <v>0.24729935968417505</v>
      </c>
      <c r="G31" s="64">
        <f>E31*$G$21</f>
        <v>16572.816049106928</v>
      </c>
      <c r="H31" s="64">
        <f t="shared" si="1"/>
        <v>1003.0956627509507</v>
      </c>
      <c r="I31" s="64">
        <f t="shared" si="2"/>
        <v>2970.7082881421215</v>
      </c>
      <c r="J31" s="18"/>
      <c r="K31" s="18"/>
      <c r="L31" s="28"/>
    </row>
    <row r="32" spans="1:12" s="4" customFormat="1" ht="12.75" customHeight="1">
      <c r="A32" s="52"/>
      <c r="B32" s="43" t="s">
        <v>26</v>
      </c>
      <c r="C32" s="51" t="s">
        <v>62</v>
      </c>
      <c r="D32" s="64">
        <f>E32*12</f>
        <v>246559.44</v>
      </c>
      <c r="E32" s="64">
        <f>E31</f>
        <v>20546.62</v>
      </c>
      <c r="F32" s="70">
        <f>E32/$E$20</f>
        <v>0.24729935968417505</v>
      </c>
      <c r="G32" s="64">
        <f>E32*$G$21</f>
        <v>16572.816049106928</v>
      </c>
      <c r="H32" s="64">
        <f t="shared" si="1"/>
        <v>1003.0956627509507</v>
      </c>
      <c r="I32" s="64">
        <f t="shared" si="2"/>
        <v>2970.7082881421215</v>
      </c>
      <c r="J32" s="18"/>
      <c r="K32" s="18"/>
      <c r="L32" s="28"/>
    </row>
    <row r="33" spans="1:12" s="4" customFormat="1" ht="12.75" customHeight="1">
      <c r="A33" s="52"/>
      <c r="B33" s="43" t="s">
        <v>27</v>
      </c>
      <c r="C33" s="51" t="s">
        <v>62</v>
      </c>
      <c r="D33" s="64">
        <f>E33*12</f>
        <v>279796.80000000005</v>
      </c>
      <c r="E33" s="64">
        <v>23316.400000000001</v>
      </c>
      <c r="F33" s="70">
        <f>E33/$E$20</f>
        <v>0.28063646430118916</v>
      </c>
      <c r="G33" s="64">
        <f>E33*$G$21</f>
        <v>18806.908782437054</v>
      </c>
      <c r="H33" s="64">
        <f t="shared" si="1"/>
        <v>1138.3176264984834</v>
      </c>
      <c r="I33" s="64">
        <f t="shared" si="2"/>
        <v>3371.1735910644657</v>
      </c>
      <c r="J33" s="18"/>
      <c r="K33" s="18"/>
      <c r="L33" s="28"/>
    </row>
    <row r="34" spans="1:12" s="4" customFormat="1" ht="13.5" customHeight="1">
      <c r="A34" s="52"/>
      <c r="B34" s="43" t="s">
        <v>36</v>
      </c>
      <c r="C34" s="51" t="s">
        <v>62</v>
      </c>
      <c r="D34" s="64">
        <f>E34*12</f>
        <v>223694.40000000002</v>
      </c>
      <c r="E34" s="64">
        <v>18641.2</v>
      </c>
      <c r="F34" s="70">
        <f>E34/$E$20</f>
        <v>0.22436570218092533</v>
      </c>
      <c r="G34" s="64">
        <f>E34*$G$21</f>
        <v>15035.912404795148</v>
      </c>
      <c r="H34" s="64">
        <f t="shared" si="1"/>
        <v>910.07216118626923</v>
      </c>
      <c r="I34" s="64">
        <f t="shared" si="2"/>
        <v>2695.2154340185839</v>
      </c>
      <c r="J34" s="18"/>
      <c r="K34" s="18"/>
      <c r="L34" s="28"/>
    </row>
    <row r="35" spans="1:12" s="4" customFormat="1" ht="27" customHeight="1">
      <c r="A35" s="52"/>
      <c r="B35" s="53" t="s">
        <v>132</v>
      </c>
      <c r="C35" s="59" t="s">
        <v>133</v>
      </c>
      <c r="D35" s="64">
        <f>E35*$D$20</f>
        <v>1932203.52</v>
      </c>
      <c r="E35" s="64">
        <v>161016.95999999999</v>
      </c>
      <c r="F35" s="70">
        <f>E35/$E$20</f>
        <v>1.9380020220499734</v>
      </c>
      <c r="G35" s="64">
        <f>E35*$G$21</f>
        <v>129875.59310808338</v>
      </c>
      <c r="H35" s="64">
        <f t="shared" si="1"/>
        <v>7860.9238018391015</v>
      </c>
      <c r="I35" s="64">
        <f t="shared" si="2"/>
        <v>23280.443090077515</v>
      </c>
      <c r="J35" s="18"/>
      <c r="K35" s="18"/>
      <c r="L35" s="28"/>
    </row>
    <row r="36" spans="1:12" s="4" customFormat="1" ht="15.75" customHeight="1">
      <c r="A36" s="48" t="s">
        <v>11</v>
      </c>
      <c r="B36" s="34" t="s">
        <v>53</v>
      </c>
      <c r="C36" s="41"/>
      <c r="D36" s="69">
        <f t="shared" ref="D36:I36" si="5">SUM(D37:D40)</f>
        <v>1647457.6800000002</v>
      </c>
      <c r="E36" s="69">
        <f t="shared" si="5"/>
        <v>137288.14000000001</v>
      </c>
      <c r="F36" s="68">
        <f t="shared" si="5"/>
        <v>1.6524016657840259</v>
      </c>
      <c r="G36" s="69">
        <f t="shared" si="5"/>
        <v>110736.02811284964</v>
      </c>
      <c r="H36" s="69">
        <f t="shared" si="5"/>
        <v>6702.4716367531655</v>
      </c>
      <c r="I36" s="69">
        <f t="shared" si="5"/>
        <v>19849.640250397191</v>
      </c>
      <c r="J36" s="129">
        <f>E36*1.18</f>
        <v>162000.00520000001</v>
      </c>
      <c r="K36" s="95"/>
      <c r="L36" s="28"/>
    </row>
    <row r="37" spans="1:12" s="4" customFormat="1" ht="15" customHeight="1">
      <c r="A37" s="52"/>
      <c r="B37" s="43" t="s">
        <v>54</v>
      </c>
      <c r="C37" s="51" t="s">
        <v>17</v>
      </c>
      <c r="D37" s="64">
        <f>E37*$D$20</f>
        <v>360080.4</v>
      </c>
      <c r="E37" s="64">
        <v>30006.7</v>
      </c>
      <c r="F37" s="70">
        <f>E37/$E$20</f>
        <v>0.36116099369312987</v>
      </c>
      <c r="G37" s="64">
        <f>E37*$G$21</f>
        <v>24203.276224543835</v>
      </c>
      <c r="H37" s="64">
        <f t="shared" si="1"/>
        <v>1464.9412226180732</v>
      </c>
      <c r="I37" s="64">
        <f t="shared" si="2"/>
        <v>4338.4825528380925</v>
      </c>
      <c r="J37" s="18"/>
      <c r="K37" s="18"/>
      <c r="L37" s="28"/>
    </row>
    <row r="38" spans="1:12" s="4" customFormat="1" ht="25.5">
      <c r="A38" s="52"/>
      <c r="B38" s="43" t="s">
        <v>55</v>
      </c>
      <c r="C38" s="51" t="s">
        <v>17</v>
      </c>
      <c r="D38" s="64">
        <f>E38*$D$20</f>
        <v>420124.80000000005</v>
      </c>
      <c r="E38" s="64">
        <v>35010.400000000001</v>
      </c>
      <c r="F38" s="70">
        <f>E38/$E$20</f>
        <v>0.42138558567233164</v>
      </c>
      <c r="G38" s="64">
        <f>E38*$G$21</f>
        <v>28239.23930094844</v>
      </c>
      <c r="H38" s="64">
        <f t="shared" si="1"/>
        <v>1709.2242126041115</v>
      </c>
      <c r="I38" s="64">
        <f t="shared" si="2"/>
        <v>5061.9364864474519</v>
      </c>
      <c r="J38" s="45"/>
      <c r="K38" s="45"/>
      <c r="L38" s="28"/>
    </row>
    <row r="39" spans="1:12" s="4" customFormat="1" ht="12.75" customHeight="1">
      <c r="A39" s="52"/>
      <c r="B39" s="43" t="s">
        <v>56</v>
      </c>
      <c r="C39" s="51" t="s">
        <v>17</v>
      </c>
      <c r="D39" s="64">
        <f>E39*$D$20</f>
        <v>481212.48</v>
      </c>
      <c r="E39" s="64">
        <v>40101.040000000001</v>
      </c>
      <c r="F39" s="70">
        <f>E39/$E$20</f>
        <v>0.48265658851283039</v>
      </c>
      <c r="G39" s="64">
        <f>E39*$G$21</f>
        <v>32345.32781050503</v>
      </c>
      <c r="H39" s="64">
        <f t="shared" si="1"/>
        <v>1957.7516543257425</v>
      </c>
      <c r="I39" s="64">
        <f t="shared" si="2"/>
        <v>5797.9605351692271</v>
      </c>
      <c r="J39" s="45"/>
      <c r="K39" s="45"/>
      <c r="L39" s="28"/>
    </row>
    <row r="40" spans="1:12" s="4" customFormat="1" ht="12.75" customHeight="1">
      <c r="A40" s="52"/>
      <c r="B40" s="43" t="s">
        <v>57</v>
      </c>
      <c r="C40" s="51" t="s">
        <v>17</v>
      </c>
      <c r="D40" s="64">
        <f>E40*$D$20</f>
        <v>386040</v>
      </c>
      <c r="E40" s="64">
        <v>32170</v>
      </c>
      <c r="F40" s="70">
        <f>E40/$E$20</f>
        <v>0.38719849790573396</v>
      </c>
      <c r="G40" s="64">
        <f>E40*$G$21</f>
        <v>25948.184776852344</v>
      </c>
      <c r="H40" s="64">
        <f t="shared" si="1"/>
        <v>1570.5545472052379</v>
      </c>
      <c r="I40" s="64">
        <f t="shared" si="2"/>
        <v>4651.2606759424207</v>
      </c>
      <c r="J40" s="45"/>
      <c r="K40" s="45"/>
      <c r="L40" s="28"/>
    </row>
    <row r="41" spans="1:12" s="4" customFormat="1" ht="18" customHeight="1">
      <c r="A41" s="48" t="s">
        <v>13</v>
      </c>
      <c r="B41" s="49" t="s">
        <v>28</v>
      </c>
      <c r="C41" s="51"/>
      <c r="D41" s="69">
        <f t="shared" ref="D41:I41" si="6">SUM(D42:D43)</f>
        <v>147665.16</v>
      </c>
      <c r="E41" s="69">
        <f t="shared" si="6"/>
        <v>12305.43</v>
      </c>
      <c r="F41" s="68">
        <f t="shared" si="6"/>
        <v>0.14810830003370085</v>
      </c>
      <c r="G41" s="69">
        <f t="shared" si="6"/>
        <v>9925.5073484184686</v>
      </c>
      <c r="H41" s="69">
        <f t="shared" si="6"/>
        <v>600.75688659669731</v>
      </c>
      <c r="I41" s="69">
        <f t="shared" si="6"/>
        <v>1779.1657649848348</v>
      </c>
      <c r="J41" s="18"/>
      <c r="K41" s="18"/>
      <c r="L41" s="28"/>
    </row>
    <row r="42" spans="1:12" s="4" customFormat="1" ht="63.75">
      <c r="A42" s="52"/>
      <c r="B42" s="50" t="s">
        <v>99</v>
      </c>
      <c r="C42" s="51" t="s">
        <v>45</v>
      </c>
      <c r="D42" s="64">
        <f t="shared" ref="D42:D47" si="7">E42*$D$20</f>
        <v>63905.16</v>
      </c>
      <c r="E42" s="64">
        <v>5325.43</v>
      </c>
      <c r="F42" s="70">
        <f>E42/$E$20</f>
        <v>6.4096938038611523E-2</v>
      </c>
      <c r="G42" s="64">
        <f>E42*$G$21</f>
        <v>4295.4691220451596</v>
      </c>
      <c r="H42" s="64">
        <f t="shared" si="1"/>
        <v>259.99000007221605</v>
      </c>
      <c r="I42" s="64">
        <f t="shared" si="2"/>
        <v>769.9708778826249</v>
      </c>
      <c r="J42" s="45"/>
      <c r="K42" s="95"/>
      <c r="L42" s="28"/>
    </row>
    <row r="43" spans="1:12" s="4" customFormat="1">
      <c r="A43" s="52"/>
      <c r="B43" s="50" t="s">
        <v>34</v>
      </c>
      <c r="C43" s="51" t="s">
        <v>63</v>
      </c>
      <c r="D43" s="64">
        <f t="shared" ref="D43:I43" si="8">SUM(D44:D47)</f>
        <v>83760</v>
      </c>
      <c r="E43" s="64">
        <f t="shared" si="8"/>
        <v>6980</v>
      </c>
      <c r="F43" s="70">
        <f t="shared" si="8"/>
        <v>8.4011361995089309E-2</v>
      </c>
      <c r="G43" s="64">
        <f t="shared" si="8"/>
        <v>5630.038226373309</v>
      </c>
      <c r="H43" s="64">
        <f t="shared" si="8"/>
        <v>340.76688652448121</v>
      </c>
      <c r="I43" s="64">
        <f t="shared" si="8"/>
        <v>1009.19488710221</v>
      </c>
      <c r="J43" s="45"/>
      <c r="K43" s="45"/>
      <c r="L43" s="28"/>
    </row>
    <row r="44" spans="1:12" s="4" customFormat="1">
      <c r="A44" s="52"/>
      <c r="B44" s="50" t="s">
        <v>58</v>
      </c>
      <c r="C44" s="51" t="s">
        <v>45</v>
      </c>
      <c r="D44" s="64">
        <f t="shared" si="7"/>
        <v>31200</v>
      </c>
      <c r="E44" s="64">
        <v>2600</v>
      </c>
      <c r="F44" s="70">
        <f>E44/$E$20</f>
        <v>3.1293630542583412E-2</v>
      </c>
      <c r="G44" s="64">
        <f>E44*$G$21</f>
        <v>2097.1489095373358</v>
      </c>
      <c r="H44" s="64">
        <f t="shared" si="1"/>
        <v>126.93322420682682</v>
      </c>
      <c r="I44" s="64">
        <f t="shared" si="2"/>
        <v>375.91786625583751</v>
      </c>
      <c r="J44" s="45"/>
      <c r="K44" s="45"/>
      <c r="L44" s="28"/>
    </row>
    <row r="45" spans="1:12" s="4" customFormat="1">
      <c r="A45" s="52"/>
      <c r="B45" s="50" t="s">
        <v>59</v>
      </c>
      <c r="C45" s="51" t="s">
        <v>64</v>
      </c>
      <c r="D45" s="64">
        <f t="shared" si="7"/>
        <v>19200</v>
      </c>
      <c r="E45" s="64">
        <v>1600</v>
      </c>
      <c r="F45" s="70">
        <f>E45/$E$20</f>
        <v>1.9257618795435943E-2</v>
      </c>
      <c r="G45" s="64">
        <f>E45*$G$21</f>
        <v>1290.5531750998989</v>
      </c>
      <c r="H45" s="64">
        <f t="shared" si="1"/>
        <v>78.112753358047271</v>
      </c>
      <c r="I45" s="64">
        <f t="shared" si="2"/>
        <v>231.33407154205386</v>
      </c>
      <c r="J45" s="45"/>
      <c r="K45" s="45"/>
      <c r="L45" s="28"/>
    </row>
    <row r="46" spans="1:12" s="4" customFormat="1">
      <c r="A46" s="52"/>
      <c r="B46" s="50" t="s">
        <v>60</v>
      </c>
      <c r="C46" s="51" t="s">
        <v>64</v>
      </c>
      <c r="D46" s="64">
        <f t="shared" si="7"/>
        <v>13200</v>
      </c>
      <c r="E46" s="64">
        <v>1100</v>
      </c>
      <c r="F46" s="70">
        <f>E46/$E$20</f>
        <v>1.3239612921862211E-2</v>
      </c>
      <c r="G46" s="64">
        <f>E46*$G$21</f>
        <v>887.25530788118044</v>
      </c>
      <c r="H46" s="64">
        <f t="shared" si="1"/>
        <v>53.702517933657496</v>
      </c>
      <c r="I46" s="64">
        <f t="shared" si="2"/>
        <v>159.04217418516203</v>
      </c>
      <c r="J46" s="45"/>
      <c r="K46" s="45"/>
      <c r="L46" s="28"/>
    </row>
    <row r="47" spans="1:12" s="4" customFormat="1">
      <c r="A47" s="52"/>
      <c r="B47" s="50" t="s">
        <v>61</v>
      </c>
      <c r="C47" s="51" t="s">
        <v>65</v>
      </c>
      <c r="D47" s="64">
        <f t="shared" si="7"/>
        <v>20160</v>
      </c>
      <c r="E47" s="64">
        <v>1680</v>
      </c>
      <c r="F47" s="70">
        <f>E47/$E$20</f>
        <v>2.0220499735207741E-2</v>
      </c>
      <c r="G47" s="64">
        <f>E47*$G$21</f>
        <v>1355.0808338548939</v>
      </c>
      <c r="H47" s="64">
        <f t="shared" si="1"/>
        <v>82.01839102594964</v>
      </c>
      <c r="I47" s="64">
        <f t="shared" si="2"/>
        <v>242.90077511915655</v>
      </c>
      <c r="J47" s="45"/>
      <c r="K47" s="45"/>
      <c r="L47" s="28"/>
    </row>
    <row r="48" spans="1:12" s="4" customFormat="1" ht="15.75" customHeight="1">
      <c r="A48" s="48" t="s">
        <v>33</v>
      </c>
      <c r="B48" s="34" t="s">
        <v>14</v>
      </c>
      <c r="C48" s="37"/>
      <c r="D48" s="69">
        <f t="shared" ref="D48:I48" si="9">SUM(D49:D50)</f>
        <v>1002732.24</v>
      </c>
      <c r="E48" s="69">
        <f t="shared" si="9"/>
        <v>83561.02</v>
      </c>
      <c r="F48" s="68">
        <f t="shared" si="9"/>
        <v>1.0057414183236244</v>
      </c>
      <c r="G48" s="69">
        <f t="shared" si="9"/>
        <v>67399.962297241349</v>
      </c>
      <c r="H48" s="69">
        <f t="shared" si="9"/>
        <v>4079.4883410042848</v>
      </c>
      <c r="I48" s="69">
        <f t="shared" si="9"/>
        <v>12081.569361754371</v>
      </c>
      <c r="J48" s="18"/>
      <c r="K48" s="18"/>
    </row>
    <row r="49" spans="1:12" s="4" customFormat="1" ht="27.75" customHeight="1">
      <c r="A49" s="52"/>
      <c r="B49" s="43" t="s">
        <v>102</v>
      </c>
      <c r="C49" s="51" t="s">
        <v>17</v>
      </c>
      <c r="D49" s="64">
        <f>E49*$D$20</f>
        <v>835932.24</v>
      </c>
      <c r="E49" s="64">
        <v>69661.02</v>
      </c>
      <c r="F49" s="70">
        <f>E49/$E$20</f>
        <v>0.83844085503827459</v>
      </c>
      <c r="G49" s="64">
        <f>E49*$G$21</f>
        <v>56188.281588560982</v>
      </c>
      <c r="H49" s="64">
        <f t="shared" si="1"/>
        <v>3400.8837962062489</v>
      </c>
      <c r="I49" s="64">
        <f t="shared" si="2"/>
        <v>10071.854615232778</v>
      </c>
      <c r="J49" s="132">
        <f>E49*1.18</f>
        <v>82200.003599999996</v>
      </c>
      <c r="K49" s="18"/>
    </row>
    <row r="50" spans="1:12" s="4" customFormat="1" ht="14.25" customHeight="1">
      <c r="A50" s="52"/>
      <c r="B50" s="43" t="s">
        <v>43</v>
      </c>
      <c r="C50" s="51" t="s">
        <v>175</v>
      </c>
      <c r="D50" s="64">
        <f>E50*$D$20</f>
        <v>166800</v>
      </c>
      <c r="E50" s="64">
        <v>13900</v>
      </c>
      <c r="F50" s="70">
        <f>E50/$E$20</f>
        <v>0.16730056328534976</v>
      </c>
      <c r="G50" s="64">
        <f>E50*$G$21</f>
        <v>11211.680708680371</v>
      </c>
      <c r="H50" s="64">
        <f t="shared" si="1"/>
        <v>678.6045447980357</v>
      </c>
      <c r="I50" s="64">
        <f t="shared" si="2"/>
        <v>2009.7147465215928</v>
      </c>
      <c r="J50" s="18"/>
      <c r="K50" s="18"/>
    </row>
    <row r="51" spans="1:12" s="4" customFormat="1" ht="25.5">
      <c r="A51" s="48" t="s">
        <v>101</v>
      </c>
      <c r="B51" s="34" t="s">
        <v>84</v>
      </c>
      <c r="C51" s="37" t="s">
        <v>39</v>
      </c>
      <c r="D51" s="69">
        <f>E51*12</f>
        <v>1525423.68</v>
      </c>
      <c r="E51" s="69">
        <v>127118.64</v>
      </c>
      <c r="F51" s="68">
        <f>E51/$E$20</f>
        <v>1.5300014443214096</v>
      </c>
      <c r="G51" s="69">
        <f>E51*$G$21</f>
        <v>102533.35279148813</v>
      </c>
      <c r="H51" s="69">
        <f>E51*$H$21</f>
        <v>6205.9918584565012</v>
      </c>
      <c r="I51" s="69">
        <f>E51*$I$21</f>
        <v>18379.295350055367</v>
      </c>
      <c r="J51" s="131">
        <f>E51*1.18</f>
        <v>149999.9952</v>
      </c>
      <c r="K51" s="95"/>
    </row>
    <row r="52" spans="1:12" s="4" customFormat="1" ht="21" customHeight="1">
      <c r="A52" s="48" t="s">
        <v>138</v>
      </c>
      <c r="B52" s="34" t="s">
        <v>15</v>
      </c>
      <c r="C52" s="41"/>
      <c r="D52" s="69">
        <f t="shared" ref="D52:I52" si="10">SUM(D53:D55)</f>
        <v>3022689.96</v>
      </c>
      <c r="E52" s="69">
        <f t="shared" si="10"/>
        <v>251890.83</v>
      </c>
      <c r="F52" s="68">
        <f t="shared" si="10"/>
        <v>3.0317609888787254</v>
      </c>
      <c r="G52" s="69">
        <f t="shared" si="10"/>
        <v>203174.06902190554</v>
      </c>
      <c r="H52" s="69">
        <f t="shared" si="10"/>
        <v>12297.428923089883</v>
      </c>
      <c r="I52" s="69">
        <f t="shared" si="10"/>
        <v>36419.332055004568</v>
      </c>
      <c r="J52" s="18"/>
      <c r="K52" s="18"/>
    </row>
    <row r="53" spans="1:12" s="4" customFormat="1">
      <c r="A53" s="52"/>
      <c r="B53" s="43" t="s">
        <v>29</v>
      </c>
      <c r="C53" s="37" t="s">
        <v>39</v>
      </c>
      <c r="D53" s="64">
        <f>E53*$D$20</f>
        <v>2931864.96</v>
      </c>
      <c r="E53" s="64">
        <v>244322.08</v>
      </c>
      <c r="F53" s="70">
        <f>E53/$E$20</f>
        <v>2.9406634249675028</v>
      </c>
      <c r="G53" s="64">
        <f>E53*$G$21</f>
        <v>197069.14755688218</v>
      </c>
      <c r="H53" s="64">
        <f t="shared" si="1"/>
        <v>11927.918984353184</v>
      </c>
      <c r="I53" s="64">
        <f t="shared" si="2"/>
        <v>35325.013458764624</v>
      </c>
      <c r="J53" s="18"/>
      <c r="K53" s="18"/>
    </row>
    <row r="54" spans="1:12" s="4" customFormat="1">
      <c r="A54" s="52"/>
      <c r="B54" s="43" t="s">
        <v>30</v>
      </c>
      <c r="C54" s="51" t="s">
        <v>45</v>
      </c>
      <c r="D54" s="64">
        <f>E54*$D$20</f>
        <v>84000</v>
      </c>
      <c r="E54" s="64">
        <v>7000</v>
      </c>
      <c r="F54" s="70">
        <f>E54/$E$20</f>
        <v>8.4252082230032263E-2</v>
      </c>
      <c r="G54" s="64">
        <f>E54*$G$21</f>
        <v>5646.1701410620581</v>
      </c>
      <c r="H54" s="64">
        <f t="shared" si="1"/>
        <v>341.74329594145684</v>
      </c>
      <c r="I54" s="64">
        <f t="shared" si="2"/>
        <v>1012.0865629964857</v>
      </c>
      <c r="J54" s="18"/>
      <c r="K54" s="18"/>
    </row>
    <row r="55" spans="1:12" s="4" customFormat="1" ht="25.5">
      <c r="A55" s="52"/>
      <c r="B55" s="43" t="s">
        <v>31</v>
      </c>
      <c r="C55" s="51" t="s">
        <v>45</v>
      </c>
      <c r="D55" s="64">
        <f>E55*$D$20</f>
        <v>6825</v>
      </c>
      <c r="E55" s="64">
        <v>568.75</v>
      </c>
      <c r="F55" s="70">
        <f>E55/$E$20</f>
        <v>6.8454816811901204E-3</v>
      </c>
      <c r="G55" s="64">
        <f>E55*$G$21</f>
        <v>458.7513239612922</v>
      </c>
      <c r="H55" s="64">
        <f t="shared" si="1"/>
        <v>27.766642795243367</v>
      </c>
      <c r="I55" s="64">
        <f t="shared" si="2"/>
        <v>82.232033243464457</v>
      </c>
      <c r="J55" s="18"/>
      <c r="K55" s="18"/>
    </row>
    <row r="56" spans="1:12" s="18" customFormat="1" ht="18.75" customHeight="1">
      <c r="A56" s="48" t="s">
        <v>140</v>
      </c>
      <c r="B56" s="38" t="s">
        <v>108</v>
      </c>
      <c r="C56" s="37" t="s">
        <v>44</v>
      </c>
      <c r="D56" s="69">
        <f>E56*12</f>
        <v>1220339.04</v>
      </c>
      <c r="E56" s="69">
        <v>101694.92</v>
      </c>
      <c r="F56" s="68">
        <f>E56/$E$20</f>
        <v>1.2240012517452217</v>
      </c>
      <c r="G56" s="69">
        <f>E56-I56-H56</f>
        <v>17525.229999999996</v>
      </c>
      <c r="H56" s="69">
        <v>1780.25</v>
      </c>
      <c r="I56" s="69">
        <v>82389.440000000002</v>
      </c>
      <c r="J56" s="133">
        <f>E56*1.18</f>
        <v>120000.00559999999</v>
      </c>
      <c r="K56" s="95"/>
    </row>
    <row r="57" spans="1:12" s="18" customFormat="1">
      <c r="A57" s="48" t="s">
        <v>141</v>
      </c>
      <c r="B57" s="38" t="s">
        <v>85</v>
      </c>
      <c r="C57" s="37" t="s">
        <v>44</v>
      </c>
      <c r="D57" s="69">
        <f>E57*12</f>
        <v>1016949.1199999999</v>
      </c>
      <c r="E57" s="69">
        <v>84745.76</v>
      </c>
      <c r="F57" s="68">
        <f>E57/$E$20</f>
        <v>1.0200009628809397</v>
      </c>
      <c r="G57" s="69">
        <f>E57*G21</f>
        <v>68355.568527658746</v>
      </c>
      <c r="H57" s="69">
        <f>E57*H21</f>
        <v>4137.3279056376678</v>
      </c>
      <c r="I57" s="69">
        <f>E57*I21</f>
        <v>12252.863566703578</v>
      </c>
      <c r="J57" s="152">
        <f>E57*1.18</f>
        <v>99999.996799999994</v>
      </c>
      <c r="K57" s="95"/>
    </row>
    <row r="58" spans="1:12" s="4" customFormat="1" ht="18.75" customHeight="1">
      <c r="A58" s="48" t="s">
        <v>139</v>
      </c>
      <c r="B58" s="38" t="s">
        <v>73</v>
      </c>
      <c r="C58" s="51"/>
      <c r="D58" s="69">
        <f t="shared" ref="D58:I58" si="11">SUM(D59:D60)</f>
        <v>2225084.88</v>
      </c>
      <c r="E58" s="69">
        <f t="shared" si="11"/>
        <v>185423.74</v>
      </c>
      <c r="F58" s="68">
        <f t="shared" si="11"/>
        <v>2.2317623128400177</v>
      </c>
      <c r="G58" s="69">
        <f t="shared" si="11"/>
        <v>174841.20223955065</v>
      </c>
      <c r="H58" s="69">
        <f t="shared" si="11"/>
        <v>10582.537760449351</v>
      </c>
      <c r="I58" s="69">
        <f t="shared" si="11"/>
        <v>0</v>
      </c>
      <c r="J58" s="46"/>
      <c r="K58" s="128"/>
      <c r="L58" s="18"/>
    </row>
    <row r="59" spans="1:12" s="4" customFormat="1" ht="18.75" customHeight="1">
      <c r="A59" s="60"/>
      <c r="B59" s="53" t="s">
        <v>121</v>
      </c>
      <c r="C59" s="51" t="s">
        <v>112</v>
      </c>
      <c r="D59" s="64">
        <f>E59*12</f>
        <v>1004745.8400000001</v>
      </c>
      <c r="E59" s="64">
        <v>83728.820000000007</v>
      </c>
      <c r="F59" s="70">
        <f>E59/$E$20</f>
        <v>1.0077610610947958</v>
      </c>
      <c r="G59" s="64">
        <f>(E59/(G20+H20)*G20)</f>
        <v>78950.233399989316</v>
      </c>
      <c r="H59" s="64">
        <f>E59/(G20+H20)*H20</f>
        <v>4778.5866000106944</v>
      </c>
      <c r="I59" s="64">
        <v>0</v>
      </c>
      <c r="J59" s="154">
        <f>E59*1.18</f>
        <v>98800.007599999997</v>
      </c>
      <c r="K59" s="54"/>
      <c r="L59" s="18"/>
    </row>
    <row r="60" spans="1:12" s="4" customFormat="1" ht="24.75" customHeight="1">
      <c r="A60" s="60"/>
      <c r="B60" s="53" t="s">
        <v>122</v>
      </c>
      <c r="C60" s="37" t="s">
        <v>44</v>
      </c>
      <c r="D60" s="64">
        <f>E60*12</f>
        <v>1220339.04</v>
      </c>
      <c r="E60" s="64">
        <v>101694.92</v>
      </c>
      <c r="F60" s="70">
        <f>E60/$E$20</f>
        <v>1.2240012517452217</v>
      </c>
      <c r="G60" s="64">
        <f>E60/(G20+H20)*G20</f>
        <v>95890.968839561348</v>
      </c>
      <c r="H60" s="64">
        <f>E60/(G20+H20)*H20</f>
        <v>5803.9511604386571</v>
      </c>
      <c r="I60" s="64">
        <v>0</v>
      </c>
      <c r="J60" s="131">
        <f>E60*1.18</f>
        <v>120000.00559999999</v>
      </c>
      <c r="K60" s="54"/>
      <c r="L60" s="18"/>
    </row>
    <row r="61" spans="1:12" s="4" customFormat="1" ht="39.75" customHeight="1">
      <c r="A61" s="48" t="s">
        <v>137</v>
      </c>
      <c r="B61" s="38" t="s">
        <v>96</v>
      </c>
      <c r="C61" s="51"/>
      <c r="D61" s="69">
        <f t="shared" ref="D61:I61" si="12">SUM(D62:D68)</f>
        <v>4228579.2</v>
      </c>
      <c r="E61" s="69">
        <f t="shared" si="12"/>
        <v>352381.6</v>
      </c>
      <c r="F61" s="68">
        <f t="shared" si="12"/>
        <v>4.241269077078619</v>
      </c>
      <c r="G61" s="69">
        <f t="shared" si="12"/>
        <v>270068.97000000003</v>
      </c>
      <c r="H61" s="69">
        <f t="shared" si="12"/>
        <v>16544.2</v>
      </c>
      <c r="I61" s="69">
        <f t="shared" si="12"/>
        <v>65768.429999999993</v>
      </c>
      <c r="J61" s="45"/>
      <c r="K61" s="54"/>
      <c r="L61" s="18"/>
    </row>
    <row r="62" spans="1:12" s="4" customFormat="1">
      <c r="A62" s="55"/>
      <c r="B62" s="53" t="s">
        <v>8</v>
      </c>
      <c r="C62" s="51" t="s">
        <v>177</v>
      </c>
      <c r="D62" s="64">
        <f>E62*$D$20</f>
        <v>232280.52</v>
      </c>
      <c r="E62" s="64">
        <f t="shared" ref="E62:E68" si="13">SUM(G62:I62)</f>
        <v>19356.71</v>
      </c>
      <c r="F62" s="70">
        <f t="shared" ref="F62:F67" si="14">E62/$E$20</f>
        <v>0.2329775889461268</v>
      </c>
      <c r="G62" s="64">
        <f>ROUND(G24*0.4,2)</f>
        <v>12870.62</v>
      </c>
      <c r="H62" s="64">
        <f>ROUND(H24*0.4,2)</f>
        <v>779.01</v>
      </c>
      <c r="I62" s="64">
        <f>ROUND(I24*0.4,2)</f>
        <v>5707.08</v>
      </c>
      <c r="J62" s="56"/>
      <c r="K62" s="54"/>
      <c r="L62" s="18"/>
    </row>
    <row r="63" spans="1:12" s="4" customFormat="1">
      <c r="A63" s="55"/>
      <c r="B63" s="53" t="s">
        <v>97</v>
      </c>
      <c r="C63" s="51" t="s">
        <v>177</v>
      </c>
      <c r="D63" s="64">
        <f>E63*12</f>
        <v>1372881.3599999999</v>
      </c>
      <c r="E63" s="64">
        <f t="shared" si="13"/>
        <v>114406.78</v>
      </c>
      <c r="F63" s="70">
        <f t="shared" si="14"/>
        <v>1.3770013480333156</v>
      </c>
      <c r="G63" s="64">
        <f>ROUND((G30+G36)*0.3,2)</f>
        <v>92280.02</v>
      </c>
      <c r="H63" s="64">
        <f>ROUND((H30+H36)*0.3,2)</f>
        <v>5585.39</v>
      </c>
      <c r="I63" s="64">
        <f>ROUND((I30+I36)*0.3,2)</f>
        <v>16541.37</v>
      </c>
      <c r="J63" s="56"/>
      <c r="K63" s="54"/>
      <c r="L63" s="18"/>
    </row>
    <row r="64" spans="1:12" s="4" customFormat="1">
      <c r="A64" s="55"/>
      <c r="B64" s="53" t="s">
        <v>178</v>
      </c>
      <c r="C64" s="51" t="s">
        <v>177</v>
      </c>
      <c r="D64" s="64">
        <f>E64*$D$20</f>
        <v>417966.11999999994</v>
      </c>
      <c r="E64" s="64">
        <f t="shared" si="13"/>
        <v>34830.509999999995</v>
      </c>
      <c r="F64" s="70">
        <f t="shared" si="14"/>
        <v>0.41922042751913718</v>
      </c>
      <c r="G64" s="64">
        <f>ROUND(G49*0.5,2)</f>
        <v>28094.14</v>
      </c>
      <c r="H64" s="64">
        <f>ROUND(H49*0.5,2)</f>
        <v>1700.44</v>
      </c>
      <c r="I64" s="64">
        <f>ROUND(I49*0.5,2)</f>
        <v>5035.93</v>
      </c>
      <c r="J64" s="56"/>
      <c r="K64" s="54"/>
      <c r="L64" s="18"/>
    </row>
    <row r="65" spans="1:12" s="4" customFormat="1">
      <c r="A65" s="55"/>
      <c r="B65" s="53" t="s">
        <v>176</v>
      </c>
      <c r="C65" s="51" t="s">
        <v>177</v>
      </c>
      <c r="D65" s="64">
        <f>E65*$D$20</f>
        <v>906807</v>
      </c>
      <c r="E65" s="64">
        <f t="shared" si="13"/>
        <v>75567.25</v>
      </c>
      <c r="F65" s="70">
        <f t="shared" si="14"/>
        <v>0.90952830869962931</v>
      </c>
      <c r="G65" s="64">
        <f>ROUND(G52*0.3,2)</f>
        <v>60952.22</v>
      </c>
      <c r="H65" s="64">
        <f>ROUND(H52*0.3,2)</f>
        <v>3689.23</v>
      </c>
      <c r="I65" s="64">
        <f>ROUND(I52*0.3,2)</f>
        <v>10925.8</v>
      </c>
      <c r="J65" s="56"/>
      <c r="K65" s="54"/>
      <c r="L65" s="18"/>
    </row>
    <row r="66" spans="1:12" s="4" customFormat="1" ht="25.5">
      <c r="A66" s="55"/>
      <c r="B66" s="53" t="s">
        <v>109</v>
      </c>
      <c r="C66" s="51" t="s">
        <v>177</v>
      </c>
      <c r="D66" s="64">
        <f>E66*$D$20</f>
        <v>335593.31999999995</v>
      </c>
      <c r="E66" s="64">
        <f t="shared" si="13"/>
        <v>27966.109999999997</v>
      </c>
      <c r="F66" s="70">
        <f>E66/$E$20</f>
        <v>0.33660042848201815</v>
      </c>
      <c r="G66" s="64">
        <f>ROUND(G56*0.275,2)</f>
        <v>4819.4399999999996</v>
      </c>
      <c r="H66" s="64">
        <f>ROUND(H56*0.275,2)</f>
        <v>489.57</v>
      </c>
      <c r="I66" s="64">
        <f>ROUND(I56*0.275,2)</f>
        <v>22657.1</v>
      </c>
      <c r="J66" s="56"/>
      <c r="K66" s="54"/>
      <c r="L66" s="18"/>
    </row>
    <row r="67" spans="1:12" s="4" customFormat="1" ht="26.25" customHeight="1">
      <c r="A67" s="55"/>
      <c r="B67" s="53" t="s">
        <v>98</v>
      </c>
      <c r="C67" s="51" t="s">
        <v>177</v>
      </c>
      <c r="D67" s="64">
        <f>E67*$D$20</f>
        <v>406779.72</v>
      </c>
      <c r="E67" s="64">
        <f t="shared" si="13"/>
        <v>33898.31</v>
      </c>
      <c r="F67" s="70">
        <f t="shared" si="14"/>
        <v>0.40800045736844637</v>
      </c>
      <c r="G67" s="64">
        <f>ROUND(G57*0.4,2)</f>
        <v>27342.23</v>
      </c>
      <c r="H67" s="64">
        <f>ROUND(H57*0.4,2)</f>
        <v>1654.93</v>
      </c>
      <c r="I67" s="64">
        <f>ROUND(I57*0.4,2)</f>
        <v>4901.1499999999996</v>
      </c>
      <c r="J67" s="56"/>
      <c r="K67" s="54"/>
      <c r="L67" s="18"/>
    </row>
    <row r="68" spans="1:12" s="4" customFormat="1">
      <c r="A68" s="55"/>
      <c r="B68" s="53" t="s">
        <v>73</v>
      </c>
      <c r="C68" s="51" t="s">
        <v>177</v>
      </c>
      <c r="D68" s="64">
        <f>E68*$D$20</f>
        <v>556271.16</v>
      </c>
      <c r="E68" s="64">
        <f t="shared" si="13"/>
        <v>46355.93</v>
      </c>
      <c r="F68" s="70">
        <f>E68/$E$20</f>
        <v>0.5579405180299456</v>
      </c>
      <c r="G68" s="64">
        <f>ROUND(G58*0.25,2)</f>
        <v>43710.3</v>
      </c>
      <c r="H68" s="64">
        <f>ROUND(H58*0.25,2)</f>
        <v>2645.63</v>
      </c>
      <c r="I68" s="64">
        <f>ROUND(I58*0.25,2)</f>
        <v>0</v>
      </c>
      <c r="J68" s="56"/>
      <c r="K68" s="54"/>
      <c r="L68" s="18"/>
    </row>
    <row r="69" spans="1:12" s="101" customFormat="1" ht="18.75" customHeight="1">
      <c r="A69" s="103"/>
      <c r="B69" s="105" t="s">
        <v>16</v>
      </c>
      <c r="C69" s="109"/>
      <c r="D69" s="119">
        <f t="shared" ref="D69:I69" si="15">D24+D29+D51+D52+D56+D57+D58+D61</f>
        <v>19546435.919999998</v>
      </c>
      <c r="E69" s="119">
        <f t="shared" si="15"/>
        <v>1628869.6600000001</v>
      </c>
      <c r="F69" s="120">
        <f t="shared" si="15"/>
        <v>19.605094362332096</v>
      </c>
      <c r="G69" s="119">
        <f t="shared" si="15"/>
        <v>1253600.4763197585</v>
      </c>
      <c r="H69" s="119">
        <f t="shared" si="15"/>
        <v>76793.493709609233</v>
      </c>
      <c r="I69" s="119">
        <f t="shared" si="15"/>
        <v>298475.68997063214</v>
      </c>
      <c r="J69" s="104"/>
      <c r="K69" s="102"/>
    </row>
    <row r="70" spans="1:12" s="4" customFormat="1" ht="21" customHeight="1">
      <c r="A70" s="123" t="s">
        <v>142</v>
      </c>
      <c r="B70" s="125" t="s">
        <v>38</v>
      </c>
      <c r="C70" s="41"/>
      <c r="D70" s="73"/>
      <c r="E70" s="73"/>
      <c r="F70" s="70"/>
      <c r="G70" s="64"/>
      <c r="H70" s="64"/>
      <c r="I70" s="64"/>
      <c r="J70" s="18"/>
      <c r="K70" s="18"/>
    </row>
    <row r="71" spans="1:12" s="4" customFormat="1" ht="25.5">
      <c r="A71" s="48" t="s">
        <v>144</v>
      </c>
      <c r="B71" s="49" t="s">
        <v>51</v>
      </c>
      <c r="C71" s="37" t="s">
        <v>17</v>
      </c>
      <c r="D71" s="69">
        <f>E71*12</f>
        <v>4830508.4399999995</v>
      </c>
      <c r="E71" s="69">
        <v>402542.37</v>
      </c>
      <c r="F71" s="68">
        <f>E71/$E$20</f>
        <v>4.8450046940445812</v>
      </c>
      <c r="G71" s="69">
        <f>E71/(G20+H20)*G20</f>
        <v>379568.39789316099</v>
      </c>
      <c r="H71" s="69">
        <f>E71/(G20+H20)*H20</f>
        <v>22973.972106839039</v>
      </c>
      <c r="I71" s="69">
        <v>0</v>
      </c>
      <c r="J71" s="134">
        <f>E71*1.18</f>
        <v>474999.99659999995</v>
      </c>
      <c r="K71" s="18"/>
    </row>
    <row r="72" spans="1:12" s="4" customFormat="1" ht="25.5">
      <c r="A72" s="48" t="s">
        <v>145</v>
      </c>
      <c r="B72" s="49" t="s">
        <v>74</v>
      </c>
      <c r="C72" s="37" t="s">
        <v>17</v>
      </c>
      <c r="D72" s="69">
        <f>E72*12</f>
        <v>5084745.72</v>
      </c>
      <c r="E72" s="69">
        <f>I72</f>
        <v>423728.81</v>
      </c>
      <c r="F72" s="68">
        <f>E72/$E$20</f>
        <v>5.100004934764816</v>
      </c>
      <c r="G72" s="69">
        <v>0</v>
      </c>
      <c r="H72" s="69">
        <v>0</v>
      </c>
      <c r="I72" s="69">
        <v>423728.81</v>
      </c>
      <c r="J72" s="134">
        <f>E72*1.18</f>
        <v>499999.99579999998</v>
      </c>
      <c r="K72" s="18"/>
    </row>
    <row r="73" spans="1:12" s="4" customFormat="1" ht="18.75" customHeight="1">
      <c r="A73" s="48" t="s">
        <v>146</v>
      </c>
      <c r="B73" s="49" t="s">
        <v>93</v>
      </c>
      <c r="C73" s="37" t="s">
        <v>17</v>
      </c>
      <c r="D73" s="69">
        <f>E73*12</f>
        <v>4067796.5999999996</v>
      </c>
      <c r="E73" s="69">
        <v>338983.05</v>
      </c>
      <c r="F73" s="68">
        <f>E73/$E$20</f>
        <v>4.0800039718838761</v>
      </c>
      <c r="G73" s="69">
        <f>E73/(G20+H20)*G20</f>
        <v>319636.54708307417</v>
      </c>
      <c r="H73" s="69">
        <f>E73/(G20+H20)*H20</f>
        <v>19346.502916925794</v>
      </c>
      <c r="I73" s="69">
        <v>0</v>
      </c>
      <c r="J73" s="135">
        <f>E73*1.18</f>
        <v>399999.99899999995</v>
      </c>
      <c r="K73" s="18"/>
    </row>
    <row r="74" spans="1:12" s="4" customFormat="1" ht="25.5">
      <c r="A74" s="48" t="s">
        <v>147</v>
      </c>
      <c r="B74" s="49" t="s">
        <v>110</v>
      </c>
      <c r="C74" s="37" t="s">
        <v>111</v>
      </c>
      <c r="D74" s="69">
        <f>E74*12</f>
        <v>180000</v>
      </c>
      <c r="E74" s="69">
        <v>15000</v>
      </c>
      <c r="F74" s="68">
        <f>E74/$E$20</f>
        <v>0.18054017620721197</v>
      </c>
      <c r="G74" s="69">
        <f>E74</f>
        <v>15000</v>
      </c>
      <c r="H74" s="69">
        <v>0</v>
      </c>
      <c r="I74" s="69">
        <v>0</v>
      </c>
      <c r="J74" s="28"/>
      <c r="K74" s="18"/>
    </row>
    <row r="75" spans="1:12" s="4" customFormat="1" ht="25.5">
      <c r="A75" s="48" t="s">
        <v>148</v>
      </c>
      <c r="B75" s="49" t="s">
        <v>119</v>
      </c>
      <c r="C75" s="41"/>
      <c r="D75" s="69">
        <f t="shared" ref="D75:I75" si="16">SUM(D76:D78)</f>
        <v>2816400</v>
      </c>
      <c r="E75" s="69">
        <f t="shared" si="16"/>
        <v>234700</v>
      </c>
      <c r="F75" s="68">
        <f>SUM(F76:F78)</f>
        <v>2.8248519570555102</v>
      </c>
      <c r="G75" s="69">
        <f t="shared" si="16"/>
        <v>189308.0188724664</v>
      </c>
      <c r="H75" s="69">
        <f t="shared" si="16"/>
        <v>11458.164508208558</v>
      </c>
      <c r="I75" s="69">
        <f t="shared" si="16"/>
        <v>33933.816619325022</v>
      </c>
      <c r="K75" s="18"/>
    </row>
    <row r="76" spans="1:12" s="4" customFormat="1" ht="12.75" customHeight="1">
      <c r="A76" s="48"/>
      <c r="B76" s="43" t="s">
        <v>78</v>
      </c>
      <c r="C76" s="37" t="s">
        <v>17</v>
      </c>
      <c r="D76" s="64">
        <f>E76*$D$20</f>
        <v>2400000</v>
      </c>
      <c r="E76" s="64">
        <v>200000</v>
      </c>
      <c r="F76" s="70">
        <f>E76/$E$20</f>
        <v>2.4072023494294932</v>
      </c>
      <c r="G76" s="64">
        <f>E76*G21</f>
        <v>161319.14688748735</v>
      </c>
      <c r="H76" s="64">
        <f>E76*H21</f>
        <v>9764.0941697559083</v>
      </c>
      <c r="I76" s="64">
        <f>E76*I21</f>
        <v>28916.758942756733</v>
      </c>
      <c r="K76" s="18"/>
    </row>
    <row r="77" spans="1:12" s="4" customFormat="1" ht="14.25" customHeight="1">
      <c r="A77" s="52"/>
      <c r="B77" s="43" t="s">
        <v>35</v>
      </c>
      <c r="C77" s="51" t="s">
        <v>12</v>
      </c>
      <c r="D77" s="64">
        <f>E77*$D$20</f>
        <v>66000</v>
      </c>
      <c r="E77" s="64">
        <v>5500</v>
      </c>
      <c r="F77" s="70">
        <f>E77/$E$20</f>
        <v>6.6198064609311061E-2</v>
      </c>
      <c r="G77" s="64">
        <f>E77*$G$21</f>
        <v>4436.2765394059024</v>
      </c>
      <c r="H77" s="64">
        <f>E77*$H$21</f>
        <v>268.51258966828749</v>
      </c>
      <c r="I77" s="64">
        <f>E77*$I$21</f>
        <v>795.21087092581013</v>
      </c>
      <c r="J77" s="18"/>
      <c r="K77" s="18"/>
    </row>
    <row r="78" spans="1:12" s="4" customFormat="1" ht="24.75" customHeight="1">
      <c r="A78" s="60"/>
      <c r="B78" s="43" t="s">
        <v>48</v>
      </c>
      <c r="C78" s="37" t="s">
        <v>94</v>
      </c>
      <c r="D78" s="64">
        <f>E78*12</f>
        <v>350400</v>
      </c>
      <c r="E78" s="64">
        <v>29200</v>
      </c>
      <c r="F78" s="70">
        <f>E78/$E$20</f>
        <v>0.351451543016706</v>
      </c>
      <c r="G78" s="64">
        <f>E78*$G$21</f>
        <v>23552.595445573155</v>
      </c>
      <c r="H78" s="64">
        <f>E78*$H$21</f>
        <v>1425.5577487843627</v>
      </c>
      <c r="I78" s="64">
        <f>E78*$I$21</f>
        <v>4221.8468056424827</v>
      </c>
      <c r="K78" s="18"/>
    </row>
    <row r="79" spans="1:12" s="58" customFormat="1" ht="20.25" customHeight="1">
      <c r="A79" s="48" t="s">
        <v>149</v>
      </c>
      <c r="B79" s="57" t="s">
        <v>32</v>
      </c>
      <c r="C79" s="51" t="s">
        <v>115</v>
      </c>
      <c r="D79" s="69">
        <f>E79*12</f>
        <v>81157.799999999988</v>
      </c>
      <c r="E79" s="69">
        <f>1763.15+5000</f>
        <v>6763.15</v>
      </c>
      <c r="F79" s="68">
        <f>E79/$E$20</f>
        <v>8.1401352847720376E-2</v>
      </c>
      <c r="G79" s="69">
        <f>E79*$G$21</f>
        <v>5455.1279413605507</v>
      </c>
      <c r="H79" s="69">
        <f>E79*H21</f>
        <v>330.18016742092334</v>
      </c>
      <c r="I79" s="69">
        <f>E79*I21</f>
        <v>977.84189121852592</v>
      </c>
      <c r="K79" s="81"/>
    </row>
    <row r="80" spans="1:12" s="4" customFormat="1" ht="25.5">
      <c r="A80" s="48" t="s">
        <v>143</v>
      </c>
      <c r="B80" s="57" t="s">
        <v>50</v>
      </c>
      <c r="C80" s="59" t="s">
        <v>92</v>
      </c>
      <c r="D80" s="89">
        <f t="shared" ref="D80:I80" si="17">SUM(D81:D82)</f>
        <v>2776271.2319999998</v>
      </c>
      <c r="E80" s="89">
        <f t="shared" si="17"/>
        <v>231355.93599999999</v>
      </c>
      <c r="F80" s="121">
        <f t="shared" si="17"/>
        <v>2.784602763468297</v>
      </c>
      <c r="G80" s="89">
        <f t="shared" si="17"/>
        <v>218151.94750950733</v>
      </c>
      <c r="H80" s="89">
        <f t="shared" si="17"/>
        <v>13203.988490492658</v>
      </c>
      <c r="I80" s="89">
        <f t="shared" si="17"/>
        <v>0</v>
      </c>
      <c r="J80" s="90"/>
    </row>
    <row r="81" spans="1:12" s="28" customFormat="1">
      <c r="A81" s="40"/>
      <c r="B81" s="53" t="s">
        <v>150</v>
      </c>
      <c r="C81" s="59"/>
      <c r="D81" s="136">
        <f>E81*12</f>
        <v>1983050.88</v>
      </c>
      <c r="E81" s="136">
        <v>165254.24</v>
      </c>
      <c r="F81" s="70">
        <f>E81/$E$20</f>
        <v>1.9890019739059264</v>
      </c>
      <c r="G81" s="64">
        <f>E81/($G$20+$H$20)*$G$20</f>
        <v>155822.8196496481</v>
      </c>
      <c r="H81" s="64">
        <f>E81/($G$20+$H$20)*$H$20</f>
        <v>9431.4203503518984</v>
      </c>
      <c r="I81" s="64">
        <v>0</v>
      </c>
      <c r="J81" s="138">
        <f>E81*1.18</f>
        <v>195000.00319999998</v>
      </c>
    </row>
    <row r="82" spans="1:12" s="4" customFormat="1" ht="51">
      <c r="A82" s="40"/>
      <c r="B82" s="53" t="s">
        <v>107</v>
      </c>
      <c r="C82" s="88"/>
      <c r="D82" s="75">
        <f>E82*12</f>
        <v>793220.35199999996</v>
      </c>
      <c r="E82" s="75">
        <f>E81*0.4</f>
        <v>66101.695999999996</v>
      </c>
      <c r="F82" s="70">
        <f>E82/$E$20</f>
        <v>0.79560078956237057</v>
      </c>
      <c r="G82" s="64">
        <f>E82/($G$20+$H$20)*$G$20</f>
        <v>62329.12785985924</v>
      </c>
      <c r="H82" s="64">
        <f>E82/($G$20+$H$20)*$H$20</f>
        <v>3772.5681401407601</v>
      </c>
      <c r="I82" s="64">
        <v>0</v>
      </c>
      <c r="J82" s="90"/>
    </row>
    <row r="83" spans="1:12" s="101" customFormat="1" ht="18.75" customHeight="1">
      <c r="A83" s="96"/>
      <c r="B83" s="105" t="s">
        <v>18</v>
      </c>
      <c r="C83" s="109"/>
      <c r="D83" s="119">
        <f t="shared" ref="D83:I83" si="18">D71+D72+D73+D74+D75+D79+D80</f>
        <v>19836879.791999999</v>
      </c>
      <c r="E83" s="119">
        <f t="shared" si="18"/>
        <v>1653073.3159999999</v>
      </c>
      <c r="F83" s="120">
        <f t="shared" si="18"/>
        <v>19.896409850272011</v>
      </c>
      <c r="G83" s="119">
        <f t="shared" si="18"/>
        <v>1127120.0392995696</v>
      </c>
      <c r="H83" s="119">
        <f t="shared" si="18"/>
        <v>67312.808189886971</v>
      </c>
      <c r="I83" s="119">
        <f t="shared" si="18"/>
        <v>458640.46851054352</v>
      </c>
      <c r="K83" s="102"/>
    </row>
    <row r="84" spans="1:12" s="101" customFormat="1" ht="28.5">
      <c r="A84" s="123" t="s">
        <v>151</v>
      </c>
      <c r="B84" s="125" t="s">
        <v>105</v>
      </c>
      <c r="C84" s="97"/>
      <c r="D84" s="98"/>
      <c r="E84" s="98"/>
      <c r="F84" s="99"/>
      <c r="G84" s="98"/>
      <c r="H84" s="98"/>
      <c r="I84" s="98"/>
      <c r="K84" s="102"/>
    </row>
    <row r="85" spans="1:12" s="101" customFormat="1" ht="25.5">
      <c r="A85" s="123"/>
      <c r="B85" s="43" t="s">
        <v>181</v>
      </c>
      <c r="C85" s="172" t="s">
        <v>120</v>
      </c>
      <c r="D85" s="64">
        <f>E85*12</f>
        <v>966101.76</v>
      </c>
      <c r="E85" s="71">
        <v>80508.479999999996</v>
      </c>
      <c r="F85" s="70">
        <f>E85/$E$20</f>
        <v>0.9690010110249867</v>
      </c>
      <c r="G85" s="64">
        <f>E85/($G$20+$H$20+$I$20)*$G$20</f>
        <v>64937.796554041684</v>
      </c>
      <c r="H85" s="64">
        <f>E85/($G$20+$H$20+$I$20)*$H$20</f>
        <v>3930.4619009195508</v>
      </c>
      <c r="I85" s="64">
        <f>E85/($G$20+$H$20+$I$20)*$I$20</f>
        <v>11640.221545038756</v>
      </c>
      <c r="J85" s="153">
        <f>E85*1.18</f>
        <v>95000.006399999984</v>
      </c>
      <c r="K85" s="102"/>
    </row>
    <row r="86" spans="1:12" s="101" customFormat="1" ht="38.25">
      <c r="A86" s="60"/>
      <c r="B86" s="43" t="s">
        <v>174</v>
      </c>
      <c r="C86" s="173"/>
      <c r="D86" s="64">
        <f>E86*12</f>
        <v>1017600</v>
      </c>
      <c r="E86" s="71">
        <v>84800</v>
      </c>
      <c r="F86" s="70">
        <f>E86/$E$20</f>
        <v>1.020653796158105</v>
      </c>
      <c r="G86" s="64">
        <f>E86/($G$20+$H$20+$I$20)*$G$20</f>
        <v>68399.318280294639</v>
      </c>
      <c r="H86" s="64">
        <f>E86/($G$20+$H$20+$I$20)*$H$20</f>
        <v>4139.9759279765058</v>
      </c>
      <c r="I86" s="64">
        <f>E86/($G$20+$H$20+$I$20)*$I$20</f>
        <v>12260.705791728853</v>
      </c>
      <c r="K86" s="102"/>
    </row>
    <row r="87" spans="1:12" s="101" customFormat="1" ht="15" customHeight="1">
      <c r="A87" s="60"/>
      <c r="B87" s="43" t="s">
        <v>152</v>
      </c>
      <c r="C87" s="174"/>
      <c r="D87" s="64">
        <f>E87*12</f>
        <v>307315.19999999995</v>
      </c>
      <c r="E87" s="71">
        <f>ROUND(E86*0.302,2)</f>
        <v>25609.599999999999</v>
      </c>
      <c r="F87" s="70">
        <f>E87/$E$20</f>
        <v>0.30823744643974771</v>
      </c>
      <c r="G87" s="64">
        <f>E87/($G$20+$H$20+$I$20)*$G$20</f>
        <v>20656.594120648981</v>
      </c>
      <c r="H87" s="64">
        <f>E87/($G$20+$H$20+$I$20)*$H$20</f>
        <v>1250.2727302489045</v>
      </c>
      <c r="I87" s="64">
        <f>E87/($G$20+$H$20+$I$20)*$I$20</f>
        <v>3702.7331491021137</v>
      </c>
      <c r="K87" s="102"/>
    </row>
    <row r="88" spans="1:12" s="101" customFormat="1" ht="18.75" customHeight="1">
      <c r="A88" s="60"/>
      <c r="B88" s="43" t="s">
        <v>49</v>
      </c>
      <c r="C88" s="37" t="s">
        <v>12</v>
      </c>
      <c r="D88" s="64">
        <f>E88*12</f>
        <v>1145508.48</v>
      </c>
      <c r="E88" s="71">
        <f>(E85+E86+E87)*0.5</f>
        <v>95459.04</v>
      </c>
      <c r="F88" s="70">
        <f>E88/$E$20</f>
        <v>1.1489461268114196</v>
      </c>
      <c r="G88" s="64">
        <f>E88/($G$20+$H$20+$I$20)*$G$20</f>
        <v>76996.854477492641</v>
      </c>
      <c r="H88" s="64">
        <f>E88/($G$20+$H$20+$I$20)*$H$20</f>
        <v>4660.35527957248</v>
      </c>
      <c r="I88" s="64">
        <f>E88/($G$20+$H$20+$I$20)*$I$20</f>
        <v>13801.830242934861</v>
      </c>
      <c r="K88" s="102"/>
    </row>
    <row r="89" spans="1:12" s="101" customFormat="1" ht="18.75" customHeight="1">
      <c r="A89" s="96"/>
      <c r="B89" s="105" t="s">
        <v>106</v>
      </c>
      <c r="C89" s="109"/>
      <c r="D89" s="119">
        <f t="shared" ref="D89:I89" si="19">SUM(D85:D88)</f>
        <v>3436525.44</v>
      </c>
      <c r="E89" s="119">
        <f t="shared" si="19"/>
        <v>286377.12</v>
      </c>
      <c r="F89" s="120">
        <f t="shared" si="19"/>
        <v>3.4468383804342588</v>
      </c>
      <c r="G89" s="119">
        <f t="shared" si="19"/>
        <v>230990.56343247794</v>
      </c>
      <c r="H89" s="119">
        <f t="shared" si="19"/>
        <v>13981.065838717441</v>
      </c>
      <c r="I89" s="119">
        <f t="shared" si="19"/>
        <v>41405.49072880458</v>
      </c>
      <c r="K89" s="102"/>
    </row>
    <row r="90" spans="1:12" s="4" customFormat="1" ht="19.5" customHeight="1">
      <c r="A90" s="137" t="s">
        <v>153</v>
      </c>
      <c r="B90" s="105" t="s">
        <v>154</v>
      </c>
      <c r="C90" s="35"/>
      <c r="D90" s="36"/>
      <c r="E90" s="39"/>
      <c r="F90" s="37"/>
      <c r="G90" s="39"/>
      <c r="H90" s="39"/>
      <c r="I90" s="39"/>
      <c r="J90" s="18"/>
      <c r="K90" s="18"/>
      <c r="L90" s="18"/>
    </row>
    <row r="91" spans="1:12" s="4" customFormat="1" ht="18" customHeight="1">
      <c r="A91" s="48" t="s">
        <v>136</v>
      </c>
      <c r="B91" s="49" t="s">
        <v>5</v>
      </c>
      <c r="C91" s="41"/>
      <c r="D91" s="69">
        <f>ROUND(D92+D93,2)</f>
        <v>5865314.04</v>
      </c>
      <c r="E91" s="69">
        <f>ROUND(E92+E93,2)</f>
        <v>488776.17</v>
      </c>
      <c r="F91" s="68">
        <f>ROUND(F92+F93,2)</f>
        <v>5.88</v>
      </c>
      <c r="G91" s="69">
        <f>ROUND(G92+G93,2)</f>
        <v>394244.77</v>
      </c>
      <c r="H91" s="69">
        <f>ROUND(H92+H93,2)</f>
        <v>23862.28</v>
      </c>
      <c r="I91" s="69">
        <f>ROUND(I92+I93-0.01,2)</f>
        <v>70669.100000000006</v>
      </c>
      <c r="J91" s="42"/>
      <c r="K91" s="42"/>
      <c r="L91" s="18"/>
    </row>
    <row r="92" spans="1:12" s="4" customFormat="1">
      <c r="A92" s="40"/>
      <c r="B92" s="43" t="s">
        <v>155</v>
      </c>
      <c r="C92" s="35"/>
      <c r="D92" s="64">
        <f>E92*12</f>
        <v>810000</v>
      </c>
      <c r="E92" s="64">
        <v>67500</v>
      </c>
      <c r="F92" s="70">
        <f>E92/$E$20</f>
        <v>0.8124307929324539</v>
      </c>
      <c r="G92" s="64">
        <f>E92*$G$21</f>
        <v>54445.212074526986</v>
      </c>
      <c r="H92" s="64">
        <f>E92*$H$21</f>
        <v>3295.3817822926194</v>
      </c>
      <c r="I92" s="64">
        <f>E92*$I$21</f>
        <v>9759.4061431803966</v>
      </c>
      <c r="J92" s="42"/>
      <c r="K92" s="44"/>
      <c r="L92" s="18"/>
    </row>
    <row r="93" spans="1:12" s="4" customFormat="1">
      <c r="A93" s="40"/>
      <c r="B93" s="43" t="s">
        <v>21</v>
      </c>
      <c r="C93" s="35" t="s">
        <v>6</v>
      </c>
      <c r="D93" s="64">
        <f>E93*12</f>
        <v>5055314.04</v>
      </c>
      <c r="E93" s="64">
        <v>421276.17</v>
      </c>
      <c r="F93" s="70">
        <f>E93/$E$20</f>
        <v>5.0704849309132927</v>
      </c>
      <c r="G93" s="64">
        <f>E93*$G$21</f>
        <v>339799.56174214045</v>
      </c>
      <c r="H93" s="64">
        <f>E93*$H$21</f>
        <v>20566.900976770496</v>
      </c>
      <c r="I93" s="64">
        <f>E93*$I$21</f>
        <v>60909.707281089024</v>
      </c>
      <c r="J93" s="42"/>
      <c r="K93" s="44"/>
      <c r="L93" s="18"/>
    </row>
    <row r="94" spans="1:12" s="4" customFormat="1" ht="18.75" customHeight="1">
      <c r="A94" s="48" t="s">
        <v>170</v>
      </c>
      <c r="B94" s="49" t="s">
        <v>7</v>
      </c>
      <c r="C94" s="41"/>
      <c r="D94" s="69">
        <f t="shared" ref="D94:I94" si="20">SUM(D95:D96)</f>
        <v>1771324.84008</v>
      </c>
      <c r="E94" s="69">
        <f t="shared" si="20"/>
        <v>147610.40333999999</v>
      </c>
      <c r="F94" s="68">
        <f t="shared" si="20"/>
        <v>1.7766405486014154</v>
      </c>
      <c r="G94" s="69">
        <f t="shared" si="20"/>
        <v>119061.91764612641</v>
      </c>
      <c r="H94" s="69">
        <f t="shared" si="20"/>
        <v>7206.4140949846897</v>
      </c>
      <c r="I94" s="69">
        <f t="shared" si="20"/>
        <v>21342.071598888884</v>
      </c>
      <c r="J94" s="42"/>
      <c r="K94" s="44"/>
    </row>
    <row r="95" spans="1:12" s="4" customFormat="1">
      <c r="A95" s="40"/>
      <c r="B95" s="43" t="s">
        <v>20</v>
      </c>
      <c r="C95" s="37" t="s">
        <v>116</v>
      </c>
      <c r="D95" s="64">
        <f>E95*12</f>
        <v>244620</v>
      </c>
      <c r="E95" s="64">
        <f>SUM(G95:I95)</f>
        <v>20385</v>
      </c>
      <c r="F95" s="70">
        <f>E95/$E$20</f>
        <v>0.24535409946560108</v>
      </c>
      <c r="G95" s="64">
        <f>ROUND(G92*0.302,2)</f>
        <v>16442.45</v>
      </c>
      <c r="H95" s="64">
        <f>ROUND(H92*0.302,2)</f>
        <v>995.21</v>
      </c>
      <c r="I95" s="64">
        <f>ROUND(I92*0.302,2)</f>
        <v>2947.34</v>
      </c>
      <c r="J95" s="45"/>
      <c r="K95" s="45"/>
    </row>
    <row r="96" spans="1:12" s="4" customFormat="1">
      <c r="A96" s="40"/>
      <c r="B96" s="43" t="s">
        <v>21</v>
      </c>
      <c r="C96" s="37" t="s">
        <v>116</v>
      </c>
      <c r="D96" s="64">
        <f>E96*12</f>
        <v>1526704.84008</v>
      </c>
      <c r="E96" s="64">
        <f>SUM(G96:I96)</f>
        <v>127225.40333999999</v>
      </c>
      <c r="F96" s="70">
        <f>E96/$E$20</f>
        <v>1.5312864491358142</v>
      </c>
      <c r="G96" s="64">
        <f>G93*0.302</f>
        <v>102619.46764612642</v>
      </c>
      <c r="H96" s="64">
        <f>H93*0.302</f>
        <v>6211.2040949846896</v>
      </c>
      <c r="I96" s="64">
        <f>I93*0.302</f>
        <v>18394.731598888884</v>
      </c>
      <c r="J96" s="45"/>
      <c r="K96" s="45"/>
    </row>
    <row r="97" spans="1:11" s="4" customFormat="1" ht="16.5" customHeight="1">
      <c r="A97" s="48" t="s">
        <v>171</v>
      </c>
      <c r="B97" s="49" t="s">
        <v>22</v>
      </c>
      <c r="C97" s="41"/>
      <c r="D97" s="69">
        <f t="shared" ref="D97:I97" si="21">SUM(D98:D106)</f>
        <v>1531158.24</v>
      </c>
      <c r="E97" s="69">
        <f t="shared" si="21"/>
        <v>127596.52</v>
      </c>
      <c r="F97" s="68">
        <f t="shared" si="21"/>
        <v>1.5357532136151368</v>
      </c>
      <c r="G97" s="69">
        <f t="shared" si="21"/>
        <v>102918.8087610611</v>
      </c>
      <c r="H97" s="69">
        <f t="shared" si="21"/>
        <v>6229.3221850657164</v>
      </c>
      <c r="I97" s="69">
        <f t="shared" si="21"/>
        <v>18448.38905387319</v>
      </c>
      <c r="J97" s="46"/>
      <c r="K97" s="46"/>
    </row>
    <row r="98" spans="1:11" s="47" customFormat="1">
      <c r="A98" s="35"/>
      <c r="B98" s="43" t="s">
        <v>37</v>
      </c>
      <c r="C98" s="37" t="s">
        <v>116</v>
      </c>
      <c r="D98" s="64">
        <f t="shared" ref="D98:D105" si="22">E98*12</f>
        <v>180000</v>
      </c>
      <c r="E98" s="64">
        <v>15000</v>
      </c>
      <c r="F98" s="70">
        <f t="shared" ref="F98:F105" si="23">E98/$E$20</f>
        <v>0.18054017620721197</v>
      </c>
      <c r="G98" s="64">
        <f t="shared" ref="G98:G106" si="24">E98*$G$21</f>
        <v>12098.936016561553</v>
      </c>
      <c r="H98" s="64">
        <f t="shared" ref="H98:H106" si="25">E98*$H$21</f>
        <v>732.30706273169312</v>
      </c>
      <c r="I98" s="64">
        <f t="shared" ref="I98:I106" si="26">E98*$I$21</f>
        <v>2168.756920706755</v>
      </c>
      <c r="K98" s="80"/>
    </row>
    <row r="99" spans="1:11" s="47" customFormat="1">
      <c r="A99" s="35"/>
      <c r="B99" s="43" t="s">
        <v>157</v>
      </c>
      <c r="C99" s="37" t="s">
        <v>116</v>
      </c>
      <c r="D99" s="64">
        <f>E99*12</f>
        <v>108000</v>
      </c>
      <c r="E99" s="64">
        <v>9000</v>
      </c>
      <c r="F99" s="70">
        <f>E99/$E$20</f>
        <v>0.10832410572432719</v>
      </c>
      <c r="G99" s="64">
        <f t="shared" si="24"/>
        <v>7259.361609936931</v>
      </c>
      <c r="H99" s="64">
        <f t="shared" si="25"/>
        <v>439.38423763901591</v>
      </c>
      <c r="I99" s="64">
        <f t="shared" si="26"/>
        <v>1301.254152424053</v>
      </c>
      <c r="K99" s="80"/>
    </row>
    <row r="100" spans="1:11" s="47" customFormat="1">
      <c r="A100" s="35"/>
      <c r="B100" s="43" t="s">
        <v>83</v>
      </c>
      <c r="C100" s="37" t="s">
        <v>117</v>
      </c>
      <c r="D100" s="64">
        <f t="shared" si="22"/>
        <v>18000</v>
      </c>
      <c r="E100" s="64">
        <v>1500</v>
      </c>
      <c r="F100" s="70">
        <f>E100/$E$20</f>
        <v>1.8054017620721199E-2</v>
      </c>
      <c r="G100" s="64">
        <f t="shared" si="24"/>
        <v>1209.8936016561552</v>
      </c>
      <c r="H100" s="64">
        <f t="shared" si="25"/>
        <v>73.230706273169318</v>
      </c>
      <c r="I100" s="64">
        <f t="shared" si="26"/>
        <v>216.87569207067548</v>
      </c>
      <c r="K100" s="80"/>
    </row>
    <row r="101" spans="1:11" s="47" customFormat="1">
      <c r="A101" s="35"/>
      <c r="B101" s="43" t="s">
        <v>158</v>
      </c>
      <c r="C101" s="37" t="s">
        <v>116</v>
      </c>
      <c r="D101" s="64">
        <f>E101*12</f>
        <v>264000</v>
      </c>
      <c r="E101" s="64">
        <v>22000</v>
      </c>
      <c r="F101" s="70">
        <f>E101/$E$20</f>
        <v>0.26479225843724424</v>
      </c>
      <c r="G101" s="64">
        <f t="shared" si="24"/>
        <v>17745.10615762361</v>
      </c>
      <c r="H101" s="64">
        <f t="shared" si="25"/>
        <v>1074.05035867315</v>
      </c>
      <c r="I101" s="64">
        <f t="shared" si="26"/>
        <v>3180.8434837032405</v>
      </c>
      <c r="K101" s="80"/>
    </row>
    <row r="102" spans="1:11" s="47" customFormat="1">
      <c r="A102" s="35"/>
      <c r="B102" s="43" t="s">
        <v>159</v>
      </c>
      <c r="C102" s="37" t="s">
        <v>116</v>
      </c>
      <c r="D102" s="64">
        <f t="shared" si="22"/>
        <v>192000</v>
      </c>
      <c r="E102" s="64">
        <v>16000</v>
      </c>
      <c r="F102" s="70">
        <f>E102/$E$20</f>
        <v>0.19257618795435943</v>
      </c>
      <c r="G102" s="64">
        <f t="shared" si="24"/>
        <v>12905.531750998989</v>
      </c>
      <c r="H102" s="64">
        <f t="shared" si="25"/>
        <v>781.12753358047269</v>
      </c>
      <c r="I102" s="64">
        <f t="shared" si="26"/>
        <v>2313.3407154205383</v>
      </c>
      <c r="K102" s="80"/>
    </row>
    <row r="103" spans="1:11" s="47" customFormat="1">
      <c r="A103" s="35"/>
      <c r="B103" s="43" t="s">
        <v>75</v>
      </c>
      <c r="C103" s="37" t="s">
        <v>116</v>
      </c>
      <c r="D103" s="64">
        <f t="shared" si="22"/>
        <v>19200</v>
      </c>
      <c r="E103" s="64">
        <v>1600</v>
      </c>
      <c r="F103" s="70">
        <f t="shared" si="23"/>
        <v>1.9257618795435943E-2</v>
      </c>
      <c r="G103" s="64">
        <f t="shared" si="24"/>
        <v>1290.5531750998989</v>
      </c>
      <c r="H103" s="64">
        <f t="shared" si="25"/>
        <v>78.112753358047271</v>
      </c>
      <c r="I103" s="64">
        <f t="shared" si="26"/>
        <v>231.33407154205386</v>
      </c>
      <c r="K103" s="80"/>
    </row>
    <row r="104" spans="1:11" s="47" customFormat="1">
      <c r="A104" s="35"/>
      <c r="B104" s="43" t="s">
        <v>77</v>
      </c>
      <c r="C104" s="37" t="s">
        <v>116</v>
      </c>
      <c r="D104" s="64">
        <f t="shared" si="22"/>
        <v>504000</v>
      </c>
      <c r="E104" s="64">
        <v>42000</v>
      </c>
      <c r="F104" s="70">
        <f t="shared" si="23"/>
        <v>0.50551249338019355</v>
      </c>
      <c r="G104" s="64">
        <f t="shared" si="24"/>
        <v>33877.020846372347</v>
      </c>
      <c r="H104" s="64">
        <f t="shared" si="25"/>
        <v>2050.459775648741</v>
      </c>
      <c r="I104" s="64">
        <f t="shared" si="26"/>
        <v>6072.5193779789133</v>
      </c>
      <c r="K104" s="80"/>
    </row>
    <row r="105" spans="1:11" s="47" customFormat="1">
      <c r="A105" s="35"/>
      <c r="B105" s="43" t="s">
        <v>82</v>
      </c>
      <c r="C105" s="37" t="s">
        <v>116</v>
      </c>
      <c r="D105" s="64">
        <f t="shared" si="22"/>
        <v>65958.240000000005</v>
      </c>
      <c r="E105" s="64">
        <v>5496.52</v>
      </c>
      <c r="F105" s="70">
        <f t="shared" si="23"/>
        <v>6.6156179288430997E-2</v>
      </c>
      <c r="G105" s="64">
        <f t="shared" si="24"/>
        <v>4433.4695862500603</v>
      </c>
      <c r="H105" s="64">
        <f t="shared" si="25"/>
        <v>268.34269442973374</v>
      </c>
      <c r="I105" s="64">
        <f t="shared" si="26"/>
        <v>794.70771932020625</v>
      </c>
      <c r="K105" s="80"/>
    </row>
    <row r="106" spans="1:11" s="47" customFormat="1">
      <c r="A106" s="35"/>
      <c r="B106" s="43" t="s">
        <v>76</v>
      </c>
      <c r="C106" s="37" t="s">
        <v>116</v>
      </c>
      <c r="D106" s="64">
        <f>E106*12</f>
        <v>180000</v>
      </c>
      <c r="E106" s="64">
        <v>15000</v>
      </c>
      <c r="F106" s="70">
        <f>E106/$E$20</f>
        <v>0.18054017620721197</v>
      </c>
      <c r="G106" s="64">
        <f t="shared" si="24"/>
        <v>12098.936016561553</v>
      </c>
      <c r="H106" s="64">
        <f t="shared" si="25"/>
        <v>732.30706273169312</v>
      </c>
      <c r="I106" s="64">
        <f t="shared" si="26"/>
        <v>2168.756920706755</v>
      </c>
      <c r="K106" s="80"/>
    </row>
    <row r="107" spans="1:11" s="101" customFormat="1" ht="19.5" customHeight="1">
      <c r="A107" s="96"/>
      <c r="B107" s="105" t="s">
        <v>156</v>
      </c>
      <c r="C107" s="97"/>
      <c r="D107" s="119">
        <f t="shared" ref="D107:I107" si="27">ROUND(D91+D94+D97,2)</f>
        <v>9167797.1199999992</v>
      </c>
      <c r="E107" s="119">
        <f t="shared" si="27"/>
        <v>763983.09</v>
      </c>
      <c r="F107" s="120">
        <f t="shared" si="27"/>
        <v>9.19</v>
      </c>
      <c r="G107" s="119">
        <f t="shared" si="27"/>
        <v>616225.5</v>
      </c>
      <c r="H107" s="119">
        <f t="shared" si="27"/>
        <v>37298.019999999997</v>
      </c>
      <c r="I107" s="119">
        <f t="shared" si="27"/>
        <v>110459.56</v>
      </c>
      <c r="J107" s="100"/>
      <c r="K107" s="100"/>
    </row>
    <row r="108" spans="1:11" s="101" customFormat="1" ht="21" customHeight="1">
      <c r="A108" s="96"/>
      <c r="B108" s="105" t="s">
        <v>86</v>
      </c>
      <c r="C108" s="97"/>
      <c r="D108" s="119">
        <f t="shared" ref="D108:I108" si="28">D69+D83+D89+D107</f>
        <v>51987638.271999992</v>
      </c>
      <c r="E108" s="119">
        <f t="shared" si="28"/>
        <v>4332303.1859999998</v>
      </c>
      <c r="F108" s="120">
        <f t="shared" si="28"/>
        <v>52.138342593038359</v>
      </c>
      <c r="G108" s="119">
        <f t="shared" si="28"/>
        <v>3227936.5790518061</v>
      </c>
      <c r="H108" s="119">
        <f t="shared" si="28"/>
        <v>195385.38773821364</v>
      </c>
      <c r="I108" s="119">
        <f t="shared" si="28"/>
        <v>908981.20920998021</v>
      </c>
      <c r="J108" s="107"/>
      <c r="K108" s="100"/>
    </row>
    <row r="109" spans="1:11" s="101" customFormat="1" ht="18.75" customHeight="1">
      <c r="A109" s="96"/>
      <c r="B109" s="140" t="s">
        <v>123</v>
      </c>
      <c r="C109" s="97"/>
      <c r="D109" s="119">
        <f>E109*12</f>
        <v>2599381.92</v>
      </c>
      <c r="E109" s="119">
        <f>SUM(G109:I109)</f>
        <v>216615.15999999997</v>
      </c>
      <c r="F109" s="120">
        <f>E109/$E$20</f>
        <v>2.6071826103702276</v>
      </c>
      <c r="G109" s="119">
        <f>ROUND(G108*0.05,2)</f>
        <v>161396.82999999999</v>
      </c>
      <c r="H109" s="119">
        <f>ROUND(H108*0.05,2)</f>
        <v>9769.27</v>
      </c>
      <c r="I109" s="119">
        <f>ROUND(I108*0.05,2)</f>
        <v>45449.06</v>
      </c>
      <c r="K109" s="100"/>
    </row>
    <row r="110" spans="1:11" s="101" customFormat="1" ht="20.25" customHeight="1">
      <c r="A110" s="96"/>
      <c r="B110" s="140" t="s">
        <v>42</v>
      </c>
      <c r="C110" s="97"/>
      <c r="D110" s="119">
        <f>E110*12</f>
        <v>9825663.6000000015</v>
      </c>
      <c r="E110" s="119">
        <f>SUM(G110:I110)</f>
        <v>818805.3</v>
      </c>
      <c r="F110" s="120">
        <f>E110/$E$20</f>
        <v>9.8551502094266041</v>
      </c>
      <c r="G110" s="119">
        <f>ROUND((G108+G109)*0.18,2)</f>
        <v>610080.01</v>
      </c>
      <c r="H110" s="119">
        <f>ROUND((H108+H109)*0.18,2)</f>
        <v>36927.839999999997</v>
      </c>
      <c r="I110" s="119">
        <f>ROUND((I108+I109)*0.18,2)</f>
        <v>171797.45</v>
      </c>
      <c r="K110" s="100"/>
    </row>
    <row r="111" spans="1:11" s="101" customFormat="1" ht="27" customHeight="1">
      <c r="A111" s="96"/>
      <c r="B111" s="108" t="s">
        <v>104</v>
      </c>
      <c r="C111" s="97"/>
      <c r="D111" s="119">
        <f t="shared" ref="D111:I111" si="29">SUM(D108:D110)</f>
        <v>64412683.791999996</v>
      </c>
      <c r="E111" s="119">
        <f>SUM(E108:E110)</f>
        <v>5367723.6459999997</v>
      </c>
      <c r="F111" s="120">
        <f t="shared" si="29"/>
        <v>64.600675412835187</v>
      </c>
      <c r="G111" s="119">
        <f t="shared" si="29"/>
        <v>3999413.4190518064</v>
      </c>
      <c r="H111" s="119">
        <f t="shared" si="29"/>
        <v>242082.49773821363</v>
      </c>
      <c r="I111" s="119">
        <f t="shared" si="29"/>
        <v>1126227.7192099802</v>
      </c>
      <c r="K111" s="100"/>
    </row>
    <row r="112" spans="1:11" s="101" customFormat="1" ht="20.25" customHeight="1">
      <c r="A112" s="123" t="s">
        <v>160</v>
      </c>
      <c r="B112" s="105" t="s">
        <v>161</v>
      </c>
      <c r="C112" s="97"/>
      <c r="D112" s="98"/>
      <c r="E112" s="98"/>
      <c r="F112" s="99"/>
      <c r="G112" s="98"/>
      <c r="H112" s="98"/>
      <c r="I112" s="98"/>
      <c r="J112" s="126"/>
      <c r="K112" s="100"/>
    </row>
    <row r="113" spans="1:19" s="4" customFormat="1" ht="22.5" customHeight="1">
      <c r="A113" s="48" t="s">
        <v>162</v>
      </c>
      <c r="B113" s="76" t="s">
        <v>79</v>
      </c>
      <c r="C113" s="62"/>
      <c r="D113" s="69">
        <f>SUM(D114:D116)</f>
        <v>17219522.879999999</v>
      </c>
      <c r="E113" s="69">
        <f>SUM(E114:E116)</f>
        <v>1434960.24</v>
      </c>
      <c r="F113" s="68">
        <f>SUM(F114:F116)</f>
        <v>17.271198305329548</v>
      </c>
      <c r="G113" s="69">
        <f>SUM(G114:G116)</f>
        <v>1353063.9203797309</v>
      </c>
      <c r="H113" s="69">
        <f>SUM(H114:H116)</f>
        <v>81896.319620269191</v>
      </c>
      <c r="I113" s="69">
        <f>SUM(I114:I115)</f>
        <v>0</v>
      </c>
      <c r="J113" s="46"/>
      <c r="K113" s="122"/>
      <c r="L113" s="95"/>
      <c r="M113" s="18"/>
      <c r="N113" s="18"/>
      <c r="O113" s="18"/>
      <c r="P113" s="18"/>
      <c r="Q113" s="18"/>
      <c r="R113" s="18"/>
      <c r="S113" s="18"/>
    </row>
    <row r="114" spans="1:19" s="31" customFormat="1" ht="38.25">
      <c r="A114" s="60"/>
      <c r="B114" s="118" t="s">
        <v>179</v>
      </c>
      <c r="C114" s="175" t="s">
        <v>39</v>
      </c>
      <c r="D114" s="64">
        <f>E114*12</f>
        <v>11208000</v>
      </c>
      <c r="E114" s="64">
        <f>K117</f>
        <v>934000</v>
      </c>
      <c r="F114" s="70">
        <f>E114/$E$20</f>
        <v>11.241634971835733</v>
      </c>
      <c r="G114" s="64">
        <f>E114/(G20+H20)*G20</f>
        <v>880694.58037973079</v>
      </c>
      <c r="H114" s="64">
        <f>E114/(G20+H20)*H20</f>
        <v>53305.419620269189</v>
      </c>
      <c r="I114" s="64">
        <v>0</v>
      </c>
      <c r="J114" s="116">
        <f>4*4*28250*13/12</f>
        <v>489666.66666666669</v>
      </c>
      <c r="K114" s="122" t="s">
        <v>172</v>
      </c>
      <c r="L114" s="95"/>
      <c r="M114" s="117"/>
      <c r="N114" s="117"/>
      <c r="O114" s="117">
        <f>4*4*28250*13/12</f>
        <v>489666.66666666669</v>
      </c>
      <c r="P114" s="117"/>
      <c r="Q114" s="117"/>
      <c r="R114" s="117"/>
      <c r="S114" s="117"/>
    </row>
    <row r="115" spans="1:19" s="31" customFormat="1">
      <c r="A115" s="60"/>
      <c r="B115" s="118" t="s">
        <v>126</v>
      </c>
      <c r="C115" s="176"/>
      <c r="D115" s="64">
        <f>E115*12</f>
        <v>3384816</v>
      </c>
      <c r="E115" s="64">
        <f>SUM(G115:H115)</f>
        <v>282068</v>
      </c>
      <c r="F115" s="70">
        <f>E115/$E$20</f>
        <v>3.3949737614943913</v>
      </c>
      <c r="G115" s="64">
        <f>ROUND(G114*0.302,2)</f>
        <v>265969.76</v>
      </c>
      <c r="H115" s="64">
        <f>ROUND(H114*0.302,2)</f>
        <v>16098.24</v>
      </c>
      <c r="I115" s="64">
        <f>ROUND(I114*0.302,2)</f>
        <v>0</v>
      </c>
      <c r="J115" s="116">
        <f>4*28250*13/12</f>
        <v>122416.66666666667</v>
      </c>
      <c r="K115" s="122" t="s">
        <v>173</v>
      </c>
      <c r="L115" s="95"/>
      <c r="M115" s="117"/>
      <c r="N115" s="117"/>
      <c r="O115" s="117">
        <f>4*1*28250*13/12</f>
        <v>122416.66666666667</v>
      </c>
      <c r="P115" s="117"/>
      <c r="Q115" s="117"/>
      <c r="R115" s="117"/>
      <c r="S115" s="117"/>
    </row>
    <row r="116" spans="1:19" s="31" customFormat="1">
      <c r="A116" s="60"/>
      <c r="B116" s="118" t="s">
        <v>125</v>
      </c>
      <c r="C116" s="177"/>
      <c r="D116" s="64">
        <f>E116*12</f>
        <v>2626706.88</v>
      </c>
      <c r="E116" s="64">
        <f>SUM(G116:H116)</f>
        <v>218892.24</v>
      </c>
      <c r="F116" s="70">
        <f>E116/$E$20</f>
        <v>2.6345895719994221</v>
      </c>
      <c r="G116" s="64">
        <f>ROUND((G114+G115)*0.18,2)</f>
        <v>206399.58</v>
      </c>
      <c r="H116" s="64">
        <f>ROUND((H114+H115)*0.18,2)</f>
        <v>12492.66</v>
      </c>
      <c r="I116" s="64">
        <f>ROUND((I114+I115)*0.18,2)</f>
        <v>0</v>
      </c>
      <c r="J116" s="116">
        <f>J114+J115</f>
        <v>612083.33333333337</v>
      </c>
      <c r="K116" s="122"/>
      <c r="L116" s="95"/>
      <c r="M116" s="117"/>
      <c r="N116" s="117"/>
      <c r="O116" s="117">
        <f>O114+O115</f>
        <v>612083.33333333337</v>
      </c>
      <c r="P116" s="117"/>
      <c r="Q116" s="117"/>
      <c r="R116" s="117"/>
      <c r="S116" s="117"/>
    </row>
    <row r="117" spans="1:19" s="4" customFormat="1" ht="22.5" customHeight="1">
      <c r="A117" s="48" t="s">
        <v>163</v>
      </c>
      <c r="B117" s="76" t="s">
        <v>124</v>
      </c>
      <c r="C117" s="62" t="s">
        <v>39</v>
      </c>
      <c r="D117" s="69">
        <f>E117*$D$20</f>
        <v>4800000</v>
      </c>
      <c r="E117" s="69">
        <v>400000</v>
      </c>
      <c r="F117" s="68">
        <f>E117/$E$20</f>
        <v>4.8144046988589864</v>
      </c>
      <c r="G117" s="69">
        <f>E117-I117-H117</f>
        <v>295248.28999999998</v>
      </c>
      <c r="H117" s="69">
        <v>17898.189999999999</v>
      </c>
      <c r="I117" s="69">
        <v>86853.52</v>
      </c>
      <c r="J117" s="18"/>
      <c r="K117" s="122">
        <f>8*4*28250+30000</f>
        <v>934000</v>
      </c>
      <c r="L117" s="95"/>
      <c r="M117" s="18"/>
      <c r="N117" s="18"/>
      <c r="O117" s="18"/>
      <c r="P117" s="18"/>
      <c r="Q117" s="18"/>
      <c r="R117" s="18"/>
      <c r="S117" s="18"/>
    </row>
    <row r="118" spans="1:19" s="31" customFormat="1" ht="22.5" customHeight="1">
      <c r="A118" s="60"/>
      <c r="B118" s="105" t="s">
        <v>165</v>
      </c>
      <c r="C118" s="139"/>
      <c r="D118" s="119">
        <f t="shared" ref="D118:I118" si="30">D113+D117</f>
        <v>22019522.879999999</v>
      </c>
      <c r="E118" s="119">
        <f>E113+E117</f>
        <v>1834960.24</v>
      </c>
      <c r="F118" s="120">
        <f t="shared" si="30"/>
        <v>22.085603004188535</v>
      </c>
      <c r="G118" s="119">
        <f t="shared" si="30"/>
        <v>1648312.2103797309</v>
      </c>
      <c r="H118" s="119">
        <f t="shared" si="30"/>
        <v>99794.509620269193</v>
      </c>
      <c r="I118" s="119">
        <f t="shared" si="30"/>
        <v>86853.52</v>
      </c>
      <c r="J118" s="116"/>
      <c r="K118" s="122"/>
      <c r="L118" s="95"/>
      <c r="M118" s="117"/>
      <c r="N118" s="117"/>
      <c r="O118" s="117"/>
      <c r="P118" s="117"/>
      <c r="Q118" s="117"/>
      <c r="R118" s="117"/>
      <c r="S118" s="117"/>
    </row>
    <row r="119" spans="1:19" s="101" customFormat="1" ht="19.5" customHeight="1">
      <c r="A119" s="110"/>
      <c r="B119" s="111" t="s">
        <v>103</v>
      </c>
      <c r="C119" s="109"/>
      <c r="D119" s="119">
        <f t="shared" ref="D119:I119" si="31">D111+D118</f>
        <v>86432206.671999991</v>
      </c>
      <c r="E119" s="119">
        <f t="shared" si="31"/>
        <v>7202683.8859999999</v>
      </c>
      <c r="F119" s="120">
        <f t="shared" si="31"/>
        <v>86.686278417023715</v>
      </c>
      <c r="G119" s="119">
        <f t="shared" si="31"/>
        <v>5647725.6294315374</v>
      </c>
      <c r="H119" s="119">
        <f t="shared" si="31"/>
        <v>341877.00735848281</v>
      </c>
      <c r="I119" s="119">
        <f t="shared" si="31"/>
        <v>1213081.2392099802</v>
      </c>
      <c r="J119" s="112"/>
      <c r="K119" s="100"/>
      <c r="L119" s="100"/>
      <c r="M119" s="100"/>
      <c r="N119" s="100"/>
      <c r="O119" s="100"/>
      <c r="P119" s="100"/>
      <c r="Q119" s="100"/>
      <c r="R119" s="100"/>
      <c r="S119" s="100"/>
    </row>
    <row r="120" spans="1:19" s="4" customFormat="1" ht="18.75" customHeight="1">
      <c r="A120" s="48"/>
      <c r="B120" s="125" t="s">
        <v>40</v>
      </c>
      <c r="C120" s="41"/>
      <c r="D120" s="72"/>
      <c r="E120" s="73"/>
      <c r="F120" s="70"/>
      <c r="G120" s="73"/>
      <c r="H120" s="73"/>
      <c r="I120" s="73"/>
    </row>
    <row r="121" spans="1:19" s="4" customFormat="1" ht="26.25" customHeight="1">
      <c r="A121" s="61"/>
      <c r="B121" s="43" t="s">
        <v>80</v>
      </c>
      <c r="C121" s="62" t="s">
        <v>17</v>
      </c>
      <c r="D121" s="64">
        <f>E121*$D$20</f>
        <v>64412683.751999997</v>
      </c>
      <c r="E121" s="64">
        <f>E111</f>
        <v>5367723.6459999997</v>
      </c>
      <c r="F121" s="70">
        <f>E121/$E$20</f>
        <v>64.605984858697212</v>
      </c>
      <c r="G121" s="64">
        <f>G111</f>
        <v>3999413.4190518064</v>
      </c>
      <c r="H121" s="64">
        <f>H111</f>
        <v>242082.49773821363</v>
      </c>
      <c r="I121" s="64">
        <f>I111</f>
        <v>1126227.7192099802</v>
      </c>
    </row>
    <row r="122" spans="1:19" s="65" customFormat="1" ht="22.5" customHeight="1">
      <c r="A122" s="63"/>
      <c r="B122" s="43" t="s">
        <v>87</v>
      </c>
      <c r="C122" s="62" t="s">
        <v>17</v>
      </c>
      <c r="D122" s="64">
        <f>E122*$D$20</f>
        <v>17219522.879999999</v>
      </c>
      <c r="E122" s="64">
        <f>SUM(G122:I122)</f>
        <v>1434960.24</v>
      </c>
      <c r="F122" s="70">
        <f>E122/$E$20</f>
        <v>17.271198305329545</v>
      </c>
      <c r="G122" s="113">
        <f>G113</f>
        <v>1353063.9203797309</v>
      </c>
      <c r="H122" s="113">
        <f>H113</f>
        <v>81896.319620269191</v>
      </c>
      <c r="I122" s="113">
        <f>I113</f>
        <v>0</v>
      </c>
    </row>
    <row r="123" spans="1:19" s="65" customFormat="1" ht="21" customHeight="1">
      <c r="A123" s="63"/>
      <c r="B123" s="43" t="s">
        <v>127</v>
      </c>
      <c r="C123" s="62" t="s">
        <v>17</v>
      </c>
      <c r="D123" s="64">
        <f>E123*$D$20</f>
        <v>4800000</v>
      </c>
      <c r="E123" s="64">
        <f>SUM(G123:I123)</f>
        <v>400000</v>
      </c>
      <c r="F123" s="70">
        <f>E123/$E$20</f>
        <v>4.8144046988589864</v>
      </c>
      <c r="G123" s="113">
        <f>G117</f>
        <v>295248.28999999998</v>
      </c>
      <c r="H123" s="113">
        <f>H117</f>
        <v>17898.189999999999</v>
      </c>
      <c r="I123" s="113">
        <f>I117</f>
        <v>86853.52</v>
      </c>
    </row>
    <row r="124" spans="1:19" s="65" customFormat="1" ht="21" customHeight="1">
      <c r="A124" s="63"/>
      <c r="B124" s="43" t="s">
        <v>166</v>
      </c>
      <c r="C124" s="62" t="s">
        <v>116</v>
      </c>
      <c r="D124" s="64">
        <f>E124*12</f>
        <v>6000</v>
      </c>
      <c r="E124" s="64">
        <v>500</v>
      </c>
      <c r="F124" s="70">
        <f>E124/$E$20</f>
        <v>6.0180058735737323E-3</v>
      </c>
      <c r="G124" s="113">
        <f>$E$124*G21</f>
        <v>403.29786721871841</v>
      </c>
      <c r="H124" s="113">
        <f>$E$124*H21</f>
        <v>24.410235424389771</v>
      </c>
      <c r="I124" s="113">
        <f>$E$124*I21</f>
        <v>72.291897356891823</v>
      </c>
    </row>
    <row r="125" spans="1:19" s="4" customFormat="1" ht="20.25" customHeight="1">
      <c r="A125" s="61"/>
      <c r="B125" s="43" t="s">
        <v>167</v>
      </c>
      <c r="C125" s="41"/>
      <c r="D125" s="64">
        <f>E125*$D$20</f>
        <v>0</v>
      </c>
      <c r="E125" s="64">
        <f>SUM(G125:I125)</f>
        <v>0</v>
      </c>
      <c r="F125" s="70">
        <f>E125/$E$20</f>
        <v>0</v>
      </c>
      <c r="G125" s="64">
        <v>0</v>
      </c>
      <c r="H125" s="64">
        <v>0</v>
      </c>
      <c r="I125" s="64">
        <v>0</v>
      </c>
    </row>
    <row r="126" spans="1:19" s="4" customFormat="1" ht="19.5" customHeight="1">
      <c r="A126" s="61"/>
      <c r="B126" s="105" t="s">
        <v>41</v>
      </c>
      <c r="C126" s="66"/>
      <c r="D126" s="119">
        <f t="shared" ref="D126:I126" si="32">SUM(D121:D125)</f>
        <v>86438206.631999999</v>
      </c>
      <c r="E126" s="119">
        <f t="shared" si="32"/>
        <v>7203183.8859999999</v>
      </c>
      <c r="F126" s="120">
        <f t="shared" si="32"/>
        <v>86.697605868759311</v>
      </c>
      <c r="G126" s="119">
        <f t="shared" si="32"/>
        <v>5648128.9272987563</v>
      </c>
      <c r="H126" s="119">
        <f t="shared" si="32"/>
        <v>341901.41759390722</v>
      </c>
      <c r="I126" s="119">
        <f t="shared" si="32"/>
        <v>1213153.5311073372</v>
      </c>
      <c r="J126" s="18"/>
    </row>
    <row r="127" spans="1:19" s="4" customFormat="1" ht="10.5" customHeight="1" thickBot="1">
      <c r="A127" s="19"/>
      <c r="B127" s="20"/>
      <c r="C127" s="21"/>
      <c r="D127" s="77"/>
      <c r="E127" s="77"/>
      <c r="F127" s="78"/>
      <c r="G127" s="77"/>
      <c r="H127" s="77"/>
      <c r="I127" s="77"/>
      <c r="J127" s="18"/>
    </row>
    <row r="128" spans="1:19" s="4" customFormat="1" ht="49.5" customHeight="1" thickBot="1">
      <c r="A128" s="19"/>
      <c r="B128" s="178" t="s">
        <v>19</v>
      </c>
      <c r="C128" s="179"/>
      <c r="D128" s="179"/>
      <c r="E128" s="179"/>
      <c r="F128" s="180"/>
      <c r="G128" s="141" t="s">
        <v>128</v>
      </c>
      <c r="H128" s="141" t="s">
        <v>129</v>
      </c>
      <c r="I128" s="146" t="s">
        <v>130</v>
      </c>
      <c r="J128" s="18"/>
    </row>
    <row r="129" spans="1:11" s="4" customFormat="1" ht="20.100000000000001" customHeight="1">
      <c r="A129" s="19"/>
      <c r="B129" s="181" t="s">
        <v>169</v>
      </c>
      <c r="C129" s="182"/>
      <c r="D129" s="182"/>
      <c r="E129" s="182"/>
      <c r="F129" s="183"/>
      <c r="G129" s="142">
        <f>ROUND(G111/G20,2)</f>
        <v>59.68</v>
      </c>
      <c r="H129" s="142">
        <f>ROUND(H111/H20,2)</f>
        <v>59.68</v>
      </c>
      <c r="I129" s="147">
        <f>ROUND(I111/I20,2)</f>
        <v>93.75</v>
      </c>
      <c r="J129" s="18"/>
    </row>
    <row r="130" spans="1:11" s="4" customFormat="1" ht="20.100000000000001" customHeight="1">
      <c r="A130" s="19"/>
      <c r="B130" s="169" t="s">
        <v>164</v>
      </c>
      <c r="C130" s="170"/>
      <c r="D130" s="170"/>
      <c r="E130" s="170"/>
      <c r="F130" s="171"/>
      <c r="G130" s="143">
        <f>ROUND(G113/G20,2)</f>
        <v>20.190000000000001</v>
      </c>
      <c r="H130" s="143">
        <f>ROUND(H113/H20,2)</f>
        <v>20.190000000000001</v>
      </c>
      <c r="I130" s="148">
        <f>ROUND(I113/I20,2)</f>
        <v>0</v>
      </c>
      <c r="J130" s="18"/>
    </row>
    <row r="131" spans="1:11" s="4" customFormat="1" ht="20.100000000000001" customHeight="1" thickBot="1">
      <c r="A131" s="19"/>
      <c r="B131" s="184" t="s">
        <v>72</v>
      </c>
      <c r="C131" s="185"/>
      <c r="D131" s="185"/>
      <c r="E131" s="185"/>
      <c r="F131" s="186"/>
      <c r="G131" s="144">
        <f>ROUND(G117/G20,2)</f>
        <v>4.41</v>
      </c>
      <c r="H131" s="144">
        <f>ROUND(H117/H20,2)</f>
        <v>4.41</v>
      </c>
      <c r="I131" s="149">
        <f>ROUND(I117/I20,2)</f>
        <v>7.23</v>
      </c>
      <c r="J131" s="18"/>
    </row>
    <row r="132" spans="1:11" s="4" customFormat="1" ht="20.100000000000001" customHeight="1" thickBot="1">
      <c r="A132" s="19"/>
      <c r="B132" s="166" t="s">
        <v>88</v>
      </c>
      <c r="C132" s="167"/>
      <c r="D132" s="167"/>
      <c r="E132" s="167"/>
      <c r="F132" s="168"/>
      <c r="G132" s="145">
        <f>G129+G130+G131</f>
        <v>84.28</v>
      </c>
      <c r="H132" s="145">
        <f>SUM(H129:H131)</f>
        <v>84.28</v>
      </c>
      <c r="I132" s="150">
        <f>SUM(I129:I131)</f>
        <v>100.98</v>
      </c>
      <c r="J132" s="18"/>
    </row>
    <row r="133" spans="1:11">
      <c r="G133">
        <v>75.87</v>
      </c>
      <c r="H133">
        <v>75.87</v>
      </c>
      <c r="I133">
        <v>100.98</v>
      </c>
      <c r="J133" s="151">
        <f>J30+J36+J49+J51+J56+J60+J81+J85</f>
        <v>1212200.0288</v>
      </c>
      <c r="K133" t="s">
        <v>168</v>
      </c>
    </row>
    <row r="134" spans="1:11">
      <c r="G134" s="115">
        <f>G133-G132</f>
        <v>-8.4099999999999966</v>
      </c>
      <c r="H134" s="115">
        <f>H133-H132</f>
        <v>-8.4099999999999966</v>
      </c>
      <c r="I134" s="115">
        <f>I133-I132</f>
        <v>0</v>
      </c>
    </row>
    <row r="142" spans="1:11">
      <c r="G142" s="114"/>
      <c r="H142" s="114"/>
      <c r="I142" s="114"/>
    </row>
    <row r="145" spans="1:11" s="4" customFormat="1" ht="15">
      <c r="A145" s="19"/>
      <c r="B145" s="20"/>
      <c r="C145" s="21"/>
      <c r="D145" s="22"/>
      <c r="E145" s="67"/>
      <c r="F145" s="23"/>
      <c r="G145" s="67"/>
      <c r="H145" s="67"/>
      <c r="I145" s="67"/>
      <c r="K145"/>
    </row>
    <row r="146" spans="1:11" s="4" customFormat="1" ht="15">
      <c r="A146" s="19"/>
      <c r="B146" s="20"/>
      <c r="C146" s="21"/>
      <c r="D146" s="22"/>
      <c r="E146" s="67"/>
      <c r="F146" s="23"/>
      <c r="G146" s="67"/>
      <c r="H146" s="67"/>
      <c r="I146" s="67"/>
    </row>
    <row r="147" spans="1:11">
      <c r="K147" s="4"/>
    </row>
  </sheetData>
  <mergeCells count="18">
    <mergeCell ref="A18:A19"/>
    <mergeCell ref="B18:B19"/>
    <mergeCell ref="C18:C19"/>
    <mergeCell ref="D18:D19"/>
    <mergeCell ref="B132:F132"/>
    <mergeCell ref="B130:F130"/>
    <mergeCell ref="C85:C87"/>
    <mergeCell ref="C114:C116"/>
    <mergeCell ref="B128:F128"/>
    <mergeCell ref="B129:F129"/>
    <mergeCell ref="B131:F131"/>
    <mergeCell ref="F18:F19"/>
    <mergeCell ref="G18:I18"/>
    <mergeCell ref="E18:E19"/>
    <mergeCell ref="B8:I8"/>
    <mergeCell ref="B9:I9"/>
    <mergeCell ref="B11:I11"/>
    <mergeCell ref="B10:D10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60" fitToHeight="0" orientation="portrait" r:id="rId1"/>
  <headerFooter alignWithMargins="0"/>
  <ignoredErrors>
    <ignoredError sqref="D36 D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Общая</vt:lpstr>
      <vt:lpstr>Общая!Заголовки_для_печати</vt:lpstr>
      <vt:lpstr>Общая!Область_печати</vt:lpstr>
    </vt:vector>
  </TitlesOfParts>
  <Company>gjk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Vellinkton</dc:creator>
  <cp:lastModifiedBy>finotdel2</cp:lastModifiedBy>
  <cp:lastPrinted>2017-11-02T06:02:41Z</cp:lastPrinted>
  <dcterms:created xsi:type="dcterms:W3CDTF">2013-03-25T06:44:07Z</dcterms:created>
  <dcterms:modified xsi:type="dcterms:W3CDTF">2017-11-02T06:02:49Z</dcterms:modified>
</cp:coreProperties>
</file>